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mv.sharepoint.com/sites/OMVPetromSustainabilityReport2021/Shared Documents/General/2022/Performance in detail/KPIs collection EN/"/>
    </mc:Choice>
  </mc:AlternateContent>
  <xr:revisionPtr revIDLastSave="580" documentId="13_ncr:1_{1FD090BD-2FE4-4A91-99DA-0719EBE394CA}" xr6:coauthVersionLast="47" xr6:coauthVersionMax="47" xr10:uidLastSave="{F0DE1211-E951-44DA-AFBB-56FE56C6C918}"/>
  <bookViews>
    <workbookView xWindow="28680" yWindow="-120" windowWidth="29040" windowHeight="15840" xr2:uid="{69B87412-5ACE-4569-8C43-26CF34C79ACF}"/>
  </bookViews>
  <sheets>
    <sheet name="Turnover_EN" sheetId="2" r:id="rId1"/>
    <sheet name="CapEx_EN" sheetId="1" r:id="rId2"/>
    <sheet name="OpEx_EN" sheetId="7" r:id="rId3"/>
    <sheet name="Summary" sheetId="9" state="hidden" r:id="rId4"/>
  </sheets>
  <externalReferences>
    <externalReference r:id="rId5"/>
    <externalReference r:id="rId6"/>
    <externalReference r:id="rId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  <c r="D13" i="1" s="1"/>
  <c r="G7" i="9"/>
  <c r="F6" i="7" l="1"/>
  <c r="E6" i="7"/>
  <c r="D6" i="7"/>
  <c r="C6" i="7"/>
  <c r="K5" i="9"/>
  <c r="N5" i="9" s="1"/>
  <c r="C6" i="9"/>
  <c r="E6" i="9"/>
  <c r="F6" i="9" s="1"/>
  <c r="G6" i="9"/>
  <c r="G32" i="9" s="1"/>
  <c r="I6" i="9"/>
  <c r="J6" i="9" s="1"/>
  <c r="M6" i="9"/>
  <c r="N6" i="9" s="1"/>
  <c r="R6" i="9"/>
  <c r="S6" i="9" s="1"/>
  <c r="T6" i="9" s="1"/>
  <c r="I7" i="9"/>
  <c r="G9" i="9"/>
  <c r="D15" i="1" s="1"/>
  <c r="K9" i="9"/>
  <c r="N9" i="9" s="1"/>
  <c r="D13" i="7" s="1"/>
  <c r="C10" i="9"/>
  <c r="G10" i="9"/>
  <c r="D16" i="1" s="1"/>
  <c r="M10" i="9"/>
  <c r="N10" i="9" s="1"/>
  <c r="D14" i="7" s="1"/>
  <c r="C11" i="9"/>
  <c r="D13" i="2" s="1"/>
  <c r="G11" i="9"/>
  <c r="C12" i="9"/>
  <c r="D11" i="2" s="1"/>
  <c r="E12" i="9"/>
  <c r="F12" i="9" s="1"/>
  <c r="G12" i="9"/>
  <c r="D14" i="1" s="1"/>
  <c r="I12" i="9"/>
  <c r="J12" i="9"/>
  <c r="M12" i="9"/>
  <c r="N12" i="9" s="1"/>
  <c r="D12" i="7" s="1"/>
  <c r="R12" i="9"/>
  <c r="S12" i="9" s="1"/>
  <c r="T12" i="9" s="1"/>
  <c r="G13" i="9"/>
  <c r="D19" i="1" s="1"/>
  <c r="I14" i="9"/>
  <c r="J14" i="9" s="1"/>
  <c r="G15" i="9"/>
  <c r="D18" i="1" s="1"/>
  <c r="I15" i="9"/>
  <c r="J15" i="9" s="1"/>
  <c r="R15" i="9"/>
  <c r="S15" i="9" s="1"/>
  <c r="T15" i="9" s="1"/>
  <c r="I16" i="9"/>
  <c r="J16" i="9" s="1"/>
  <c r="G17" i="9"/>
  <c r="I17" i="9"/>
  <c r="J17" i="9" s="1"/>
  <c r="M17" i="9"/>
  <c r="N17" i="9" s="1"/>
  <c r="D15" i="7" s="1"/>
  <c r="R17" i="9"/>
  <c r="S17" i="9" s="1"/>
  <c r="T17" i="9" s="1"/>
  <c r="G18" i="9"/>
  <c r="I19" i="9"/>
  <c r="J19" i="9"/>
  <c r="I20" i="9"/>
  <c r="J20" i="9" s="1"/>
  <c r="R20" i="9"/>
  <c r="S20" i="9" s="1"/>
  <c r="T20" i="9" s="1"/>
  <c r="G21" i="9"/>
  <c r="D21" i="1" s="1"/>
  <c r="G22" i="9"/>
  <c r="K24" i="9"/>
  <c r="P24" i="9"/>
  <c r="S24" i="9" s="1"/>
  <c r="T24" i="9" s="1"/>
  <c r="T26" i="9"/>
  <c r="P27" i="9"/>
  <c r="Q27" i="9"/>
  <c r="R27" i="9"/>
  <c r="S27" i="9"/>
  <c r="T27" i="9"/>
  <c r="C28" i="9"/>
  <c r="D12" i="9" s="1"/>
  <c r="G28" i="9"/>
  <c r="H8" i="9" s="1"/>
  <c r="K28" i="9"/>
  <c r="L28" i="9"/>
  <c r="M28" i="9"/>
  <c r="N28" i="9"/>
  <c r="U28" i="9"/>
  <c r="E8" i="2"/>
  <c r="D6" i="2"/>
  <c r="C6" i="2"/>
  <c r="D12" i="2" l="1"/>
  <c r="C32" i="9"/>
  <c r="K26" i="9"/>
  <c r="H17" i="9"/>
  <c r="H7" i="9"/>
  <c r="M26" i="9"/>
  <c r="H18" i="9"/>
  <c r="H22" i="9"/>
  <c r="I26" i="9"/>
  <c r="H6" i="9"/>
  <c r="E26" i="9"/>
  <c r="F26" i="9" s="1"/>
  <c r="D6" i="9"/>
  <c r="O10" i="9"/>
  <c r="O17" i="9"/>
  <c r="H9" i="9"/>
  <c r="D10" i="9"/>
  <c r="O5" i="9"/>
  <c r="O12" i="9"/>
  <c r="O6" i="9"/>
  <c r="D10" i="7"/>
  <c r="N24" i="9"/>
  <c r="H11" i="9"/>
  <c r="D11" i="7"/>
  <c r="D7" i="1"/>
  <c r="D8" i="1"/>
  <c r="D10" i="2"/>
  <c r="O9" i="9"/>
  <c r="D9" i="1"/>
  <c r="D20" i="1"/>
  <c r="G26" i="9"/>
  <c r="H32" i="9" s="1"/>
  <c r="H21" i="9"/>
  <c r="H13" i="9"/>
  <c r="H12" i="9"/>
  <c r="D11" i="9"/>
  <c r="C26" i="9"/>
  <c r="D26" i="9" s="1"/>
  <c r="D12" i="1"/>
  <c r="H15" i="9"/>
  <c r="H10" i="9"/>
  <c r="D17" i="1"/>
  <c r="I27" i="9"/>
  <c r="J27" i="9" s="1"/>
  <c r="J26" i="9"/>
  <c r="J7" i="9"/>
  <c r="N26" i="9" l="1"/>
  <c r="N32" i="9"/>
  <c r="O32" i="9" s="1"/>
  <c r="D32" i="9"/>
  <c r="C27" i="9"/>
  <c r="D17" i="2" s="1"/>
  <c r="E27" i="9"/>
  <c r="F27" i="9" s="1"/>
  <c r="F28" i="9" s="1"/>
  <c r="O24" i="9"/>
  <c r="D16" i="7"/>
  <c r="D27" i="9"/>
  <c r="D28" i="9" s="1"/>
  <c r="D22" i="1"/>
  <c r="G27" i="9"/>
  <c r="H26" i="9"/>
  <c r="N27" i="9"/>
  <c r="O26" i="9"/>
  <c r="O27" i="9" l="1"/>
  <c r="O28" i="9" s="1"/>
  <c r="D20" i="7"/>
  <c r="H27" i="9"/>
  <c r="D25" i="1"/>
  <c r="C8" i="2" l="1"/>
  <c r="D14" i="2" l="1"/>
  <c r="D8" i="7" l="1"/>
  <c r="D10" i="1"/>
  <c r="D8" i="2"/>
  <c r="D15" i="2" s="1"/>
  <c r="D18" i="2" s="1"/>
  <c r="E11" i="2" s="1"/>
  <c r="E13" i="2" l="1"/>
  <c r="E12" i="2"/>
  <c r="E17" i="2"/>
  <c r="E14" i="2"/>
  <c r="E15" i="2" s="1"/>
  <c r="E10" i="2"/>
  <c r="D23" i="1"/>
  <c r="E18" i="2"/>
  <c r="D17" i="7" l="1"/>
  <c r="D26" i="1"/>
  <c r="E13" i="1" s="1"/>
  <c r="E15" i="1" l="1"/>
  <c r="E16" i="1"/>
  <c r="E18" i="1"/>
  <c r="E14" i="1"/>
  <c r="E19" i="1"/>
  <c r="E21" i="1"/>
  <c r="E20" i="1"/>
  <c r="E17" i="1"/>
  <c r="D18" i="7"/>
  <c r="E12" i="1"/>
  <c r="E22" i="1"/>
  <c r="E10" i="1"/>
  <c r="E7" i="1"/>
  <c r="E9" i="1"/>
  <c r="S9" i="1" s="1"/>
  <c r="E26" i="1"/>
  <c r="E23" i="1"/>
  <c r="E25" i="1"/>
  <c r="E8" i="1"/>
  <c r="S8" i="1" s="1"/>
  <c r="S7" i="1" l="1"/>
  <c r="S10" i="1"/>
  <c r="D21" i="7" l="1"/>
  <c r="E13" i="7" l="1"/>
  <c r="E14" i="7"/>
  <c r="E15" i="7"/>
  <c r="E12" i="7"/>
  <c r="E11" i="7"/>
  <c r="E16" i="7"/>
  <c r="E20" i="7"/>
  <c r="E18" i="7"/>
  <c r="E8" i="7"/>
  <c r="S8" i="7" s="1"/>
  <c r="E10" i="7"/>
  <c r="E17" i="7"/>
  <c r="E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tc={0B4AA0AC-0C1C-4D38-9162-8FBA3E5A6DB2}</author>
    <author>tc={6E0B8583-61EA-44EF-8CE3-227490135CFF}</author>
  </authors>
  <commentList>
    <comment ref="E10" authorId="0" shapeId="0" xr:uid="{0B4AA0AC-0C1C-4D38-9162-8FBA3E5A6DB2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Comparative figures to be provided</t>
      </text>
    </comment>
    <comment ref="E11" authorId="1" shapeId="0" xr:uid="{6E0B8583-61EA-44EF-8CE3-227490135CFF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Comparative figures to be provided</t>
      </text>
    </comment>
  </commentList>
</comments>
</file>

<file path=xl/sharedStrings.xml><?xml version="1.0" encoding="utf-8"?>
<sst xmlns="http://schemas.openxmlformats.org/spreadsheetml/2006/main" count="288" uniqueCount="115">
  <si>
    <t>CAPEX</t>
  </si>
  <si>
    <t>OPEX</t>
  </si>
  <si>
    <t>Turnover</t>
  </si>
  <si>
    <t>Taxonomy-non-eligible activities</t>
  </si>
  <si>
    <t>Total</t>
  </si>
  <si>
    <t>Taxonomy-eligible activities</t>
  </si>
  <si>
    <t>Code(s) (2)</t>
  </si>
  <si>
    <t>in %</t>
  </si>
  <si>
    <t>E</t>
  </si>
  <si>
    <t>T</t>
  </si>
  <si>
    <t>4.13.</t>
  </si>
  <si>
    <t>3.14.</t>
  </si>
  <si>
    <t>4.9.</t>
  </si>
  <si>
    <t>4.29.</t>
  </si>
  <si>
    <t>Substantial contribution criteria</t>
  </si>
  <si>
    <t>DNSH criteria ('Does not significantly harm')</t>
  </si>
  <si>
    <t>Economic activities (1)</t>
  </si>
  <si>
    <t>Absolute turnover (3)</t>
  </si>
  <si>
    <t>Proportion of turnover (4)</t>
  </si>
  <si>
    <t>Climate change mitigation (5)</t>
  </si>
  <si>
    <t>Climate change adaptation (6)</t>
  </si>
  <si>
    <t>Water and marine resources (7)</t>
  </si>
  <si>
    <t>Circular economy (8)</t>
  </si>
  <si>
    <t>Pollution (9)</t>
  </si>
  <si>
    <t>Biodiversity and ecosystems (10)</t>
  </si>
  <si>
    <t>Climate change mitigation (11)</t>
  </si>
  <si>
    <t>Climate change adaptation (12)</t>
  </si>
  <si>
    <t>Water and marine resources (13)</t>
  </si>
  <si>
    <t>Circular economy (14)</t>
  </si>
  <si>
    <t>Pollution (15)</t>
  </si>
  <si>
    <t>Biodiversity and ecosystems (16)</t>
  </si>
  <si>
    <t>Minimum Safeguards (17)</t>
  </si>
  <si>
    <t>Taxonomy-aligned proportion of turnover, year N 
(18)</t>
  </si>
  <si>
    <t>Taxonomy-aligned proportion of turnover, year N-1 
(19)</t>
  </si>
  <si>
    <t>Category (enabling activity) 
(20)</t>
  </si>
  <si>
    <t>Category (transitional activity)
(21)</t>
  </si>
  <si>
    <t>%</t>
  </si>
  <si>
    <t>Y/N</t>
  </si>
  <si>
    <t>A. TAXONOMY-ELIGIBLE ACTIVITIES</t>
  </si>
  <si>
    <t>A.1 Environmentally sustainable activities (Taxonomy-aligned)</t>
  </si>
  <si>
    <t>-</t>
  </si>
  <si>
    <t>Turnover of environmentally sustainable activities (Taxonomy-aligned) (A.1)</t>
  </si>
  <si>
    <t>A.2 Taxonomy-Eligible but not environmentally sustainable activities (not Taxonomy-aligned activities)</t>
  </si>
  <si>
    <t>Manufacture of organic basic chemicals</t>
  </si>
  <si>
    <t>Transmission and distribution of electricity</t>
  </si>
  <si>
    <t>Manufacture biogas and biofuels for transport</t>
  </si>
  <si>
    <t>Electricity generation from fossil gaseous fuels</t>
  </si>
  <si>
    <t>Turnover of Taxonomy-eligible but not environmentally sustainable activities (not Taxonomy-aligned activities) (A.2)</t>
  </si>
  <si>
    <t>Total (A.1 + A.2)</t>
  </si>
  <si>
    <t>B. TAXONOMY-NON-ELIGIBLE ACTIVITIES</t>
  </si>
  <si>
    <t>Turnover of Taxonomy-non-eligible activities (B)</t>
  </si>
  <si>
    <t>Total (A + B)</t>
  </si>
  <si>
    <t>3.10.</t>
  </si>
  <si>
    <t>6.2</t>
  </si>
  <si>
    <t>6.5</t>
  </si>
  <si>
    <t>6.6</t>
  </si>
  <si>
    <t>6.14</t>
  </si>
  <si>
    <t>7.1</t>
  </si>
  <si>
    <t>7.2</t>
  </si>
  <si>
    <t>8.1</t>
  </si>
  <si>
    <t>9.1.</t>
  </si>
  <si>
    <t>Absolute CapEx (3)</t>
  </si>
  <si>
    <t>Proportion of CapEx (4)</t>
  </si>
  <si>
    <t>Taxonomy-aligned proportion of CapEx, year N 
(18)</t>
  </si>
  <si>
    <t>Taxonomy-aligned proportion of CapEx, year N-1 
(19)</t>
  </si>
  <si>
    <t>Manufacture of hydrogen</t>
  </si>
  <si>
    <t>Y</t>
  </si>
  <si>
    <t>Electricity generation using from solar photovoltaic technology</t>
  </si>
  <si>
    <t>Infrastructure for low carbon road transport</t>
  </si>
  <si>
    <t>Installation, maintenance and repair of renewable energy technologies</t>
  </si>
  <si>
    <t>CapEx of environmentally sustainable activities (Taxonomy-aligned) (A.1)</t>
  </si>
  <si>
    <t>Freight rail transport</t>
  </si>
  <si>
    <t>Transport by motorbikes, passenger cars, light commercial vehicles</t>
  </si>
  <si>
    <t>Freight transport services by road</t>
  </si>
  <si>
    <t>Infrastructure for rail transport</t>
  </si>
  <si>
    <t>Construction of new buildings</t>
  </si>
  <si>
    <t>Renovation of existing buildings</t>
  </si>
  <si>
    <t>Data processing, hosting and related activities</t>
  </si>
  <si>
    <t>Close to market research, development and innovation</t>
  </si>
  <si>
    <t>CAPEX of Taxonomy-eligible but not environmentally sustainable activities (not Taxonomy-aligned activities) (A.2)</t>
  </si>
  <si>
    <t>CAPEX of Taxonomy-non-eligible activities (B)</t>
  </si>
  <si>
    <t>Absolute OpEx (3)</t>
  </si>
  <si>
    <t>Proportion of OpEx (4)</t>
  </si>
  <si>
    <t>Taxonomy-aligned proportion of OpEx, year N 
(18)</t>
  </si>
  <si>
    <t>Taxonomy-aligned proportion of OpEx, year N-1 
(19)</t>
  </si>
  <si>
    <t>OpEx of environmentally sustainable activities (Taxonomy-aligned) (A.1)</t>
  </si>
  <si>
    <t>OpEx of Taxonomy-eligible but not environmentally sustainable activities (not Taxonomy-aligned activities) (A.2)</t>
  </si>
  <si>
    <t>OPEX of Taxonomy-non-eligible activities (B)</t>
  </si>
  <si>
    <t>Research expenses</t>
  </si>
  <si>
    <t>Short-term leases</t>
  </si>
  <si>
    <t>Maintenance expenses</t>
  </si>
  <si>
    <t>3.14</t>
  </si>
  <si>
    <t>9.1</t>
  </si>
  <si>
    <t>4.1</t>
  </si>
  <si>
    <t>4.9</t>
  </si>
  <si>
    <t>Installation, maintenance and repair of energy efficiency equipment</t>
  </si>
  <si>
    <t>7.3</t>
  </si>
  <si>
    <t>High-efficiency co-generation of heat/cool and power from fossil gaseous fuels</t>
  </si>
  <si>
    <t>Sea and coastal freight water transport, vessels for port operations and auxiliary activities</t>
  </si>
  <si>
    <t>Infrastructure enabling low-carbon road transport and public transport</t>
  </si>
  <si>
    <t>in RON mn</t>
  </si>
  <si>
    <t>OMV Petrom Group</t>
  </si>
  <si>
    <t>Aligned</t>
  </si>
  <si>
    <t>RON Thousand</t>
  </si>
  <si>
    <t>Manufacture of biogas and biofuels for use in transport and of bioliquids</t>
  </si>
  <si>
    <t>OPGSOL</t>
  </si>
  <si>
    <t>4.29</t>
  </si>
  <si>
    <t>4.30</t>
  </si>
  <si>
    <t>6.15</t>
  </si>
  <si>
    <t>7.6</t>
  </si>
  <si>
    <t>4.13</t>
  </si>
  <si>
    <t>6.10</t>
  </si>
  <si>
    <t>n/r</t>
  </si>
  <si>
    <t>Electricity generation using solar photovoltaic technology (R&amp;M)</t>
  </si>
  <si>
    <t>Electricity generation using solar photovoltaic technology (G&amp;P)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</si>
</sst>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-* #,##0.0\ _l_e_i_-;\-* #,##0.0\ _l_e_i_-;_-* &quot;-&quot;?\ _l_e_i_-;_-@_-"/>
    <numFmt numFmtId="168" formatCode="#,##0.00_ ;\-#,##0.00\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86CD"/>
      <name val="Calibri"/>
      <family val="2"/>
    </font>
    <font>
      <sz val="9"/>
      <name val="Calibri"/>
      <family val="2"/>
      <scheme val="minor"/>
    </font>
    <font>
      <b/>
      <sz val="11"/>
      <color rgb="FF0086CD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86CD"/>
      </bottom>
      <diagonal/>
    </border>
    <border>
      <left/>
      <right/>
      <top style="medium">
        <color rgb="FF0086CD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4" applyNumberFormat="0" applyFill="0" applyAlignment="0" applyProtection="0">
      <alignment wrapText="1"/>
    </xf>
    <xf numFmtId="0" fontId="4" fillId="0" borderId="5" applyNumberFormat="0" applyFill="0" applyAlignment="0" applyProtection="0"/>
    <xf numFmtId="0" fontId="5" fillId="0" borderId="4" applyNumberFormat="0" applyFill="0" applyAlignment="0" applyProtection="0"/>
    <xf numFmtId="0" fontId="6" fillId="0" borderId="4" applyNumberFormat="0" applyFill="0" applyAlignment="0" applyProtection="0">
      <alignment wrapText="1"/>
    </xf>
    <xf numFmtId="0" fontId="7" fillId="0" borderId="4" applyNumberFormat="0" applyFill="0" applyAlignment="0" applyProtection="0">
      <alignment vertical="top" wrapText="1"/>
    </xf>
    <xf numFmtId="43" fontId="2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8" fillId="2" borderId="0" xfId="0" applyFont="1" applyFill="1"/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/>
    <xf numFmtId="0" fontId="8" fillId="2" borderId="6" xfId="0" applyFont="1" applyFill="1" applyBorder="1" applyAlignment="1">
      <alignment textRotation="180" wrapText="1"/>
    </xf>
    <xf numFmtId="0" fontId="8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8" fillId="2" borderId="9" xfId="0" applyFont="1" applyFill="1" applyBorder="1"/>
    <xf numFmtId="0" fontId="8" fillId="2" borderId="10" xfId="0" applyFont="1" applyFill="1" applyBorder="1"/>
    <xf numFmtId="0" fontId="8" fillId="2" borderId="7" xfId="0" applyFont="1" applyFill="1" applyBorder="1" applyAlignment="1">
      <alignment textRotation="180" wrapText="1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/>
    <xf numFmtId="0" fontId="9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wrapText="1"/>
    </xf>
    <xf numFmtId="0" fontId="8" fillId="2" borderId="12" xfId="0" applyFont="1" applyFill="1" applyBorder="1"/>
    <xf numFmtId="0" fontId="1" fillId="2" borderId="0" xfId="0" applyFont="1" applyFill="1"/>
    <xf numFmtId="0" fontId="8" fillId="2" borderId="6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5" xfId="0" applyFont="1" applyFill="1" applyBorder="1" applyAlignment="1">
      <alignment vertical="center"/>
    </xf>
    <xf numFmtId="0" fontId="1" fillId="4" borderId="1" xfId="0" applyFont="1" applyFill="1" applyBorder="1"/>
    <xf numFmtId="0" fontId="11" fillId="3" borderId="17" xfId="0" applyFont="1" applyFill="1" applyBorder="1"/>
    <xf numFmtId="0" fontId="0" fillId="0" borderId="18" xfId="0" quotePrefix="1" applyBorder="1" applyAlignment="1">
      <alignment horizontal="center"/>
    </xf>
    <xf numFmtId="0" fontId="1" fillId="4" borderId="17" xfId="0" applyFont="1" applyFill="1" applyBorder="1"/>
    <xf numFmtId="0" fontId="10" fillId="3" borderId="1" xfId="0" applyFont="1" applyFill="1" applyBorder="1" applyAlignment="1">
      <alignment horizontal="right" vertical="center"/>
    </xf>
    <xf numFmtId="165" fontId="0" fillId="0" borderId="15" xfId="7" applyNumberFormat="1" applyFont="1" applyBorder="1"/>
    <xf numFmtId="0" fontId="10" fillId="3" borderId="3" xfId="0" applyFont="1" applyFill="1" applyBorder="1" applyAlignment="1">
      <alignment horizontal="right" vertical="center"/>
    </xf>
    <xf numFmtId="164" fontId="0" fillId="0" borderId="20" xfId="1" applyNumberFormat="1" applyFont="1" applyBorder="1"/>
    <xf numFmtId="165" fontId="13" fillId="0" borderId="15" xfId="7" applyNumberFormat="1" applyFont="1" applyFill="1" applyBorder="1"/>
    <xf numFmtId="165" fontId="0" fillId="0" borderId="0" xfId="7" applyNumberFormat="1" applyFont="1" applyBorder="1"/>
    <xf numFmtId="49" fontId="8" fillId="2" borderId="6" xfId="0" applyNumberFormat="1" applyFont="1" applyFill="1" applyBorder="1"/>
    <xf numFmtId="166" fontId="8" fillId="2" borderId="6" xfId="7" applyNumberFormat="1" applyFont="1" applyFill="1" applyBorder="1"/>
    <xf numFmtId="166" fontId="9" fillId="2" borderId="6" xfId="7" applyNumberFormat="1" applyFont="1" applyFill="1" applyBorder="1"/>
    <xf numFmtId="0" fontId="8" fillId="2" borderId="23" xfId="0" applyFont="1" applyFill="1" applyBorder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6" fontId="8" fillId="2" borderId="6" xfId="7" applyNumberFormat="1" applyFont="1" applyFill="1" applyBorder="1" applyAlignment="1">
      <alignment horizontal="center"/>
    </xf>
    <xf numFmtId="166" fontId="9" fillId="2" borderId="6" xfId="7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2" fontId="8" fillId="2" borderId="23" xfId="7" applyNumberFormat="1" applyFont="1" applyFill="1" applyBorder="1" applyAlignment="1">
      <alignment horizontal="center"/>
    </xf>
    <xf numFmtId="2" fontId="8" fillId="2" borderId="24" xfId="7" applyNumberFormat="1" applyFont="1" applyFill="1" applyBorder="1" applyAlignment="1">
      <alignment horizontal="center"/>
    </xf>
    <xf numFmtId="2" fontId="8" fillId="2" borderId="0" xfId="7" applyNumberFormat="1" applyFont="1" applyFill="1" applyBorder="1" applyAlignment="1">
      <alignment horizontal="center"/>
    </xf>
    <xf numFmtId="2" fontId="9" fillId="2" borderId="24" xfId="7" applyNumberFormat="1" applyFont="1" applyFill="1" applyBorder="1" applyAlignment="1">
      <alignment horizontal="center"/>
    </xf>
    <xf numFmtId="2" fontId="9" fillId="2" borderId="0" xfId="7" applyNumberFormat="1" applyFont="1" applyFill="1" applyBorder="1" applyAlignment="1">
      <alignment horizontal="center"/>
    </xf>
    <xf numFmtId="2" fontId="9" fillId="2" borderId="24" xfId="7" applyNumberFormat="1" applyFont="1" applyFill="1" applyBorder="1" applyAlignment="1">
      <alignment wrapText="1"/>
    </xf>
    <xf numFmtId="2" fontId="9" fillId="2" borderId="0" xfId="7" applyNumberFormat="1" applyFont="1" applyFill="1" applyBorder="1" applyAlignment="1">
      <alignment wrapText="1"/>
    </xf>
    <xf numFmtId="2" fontId="8" fillId="2" borderId="24" xfId="7" applyNumberFormat="1" applyFont="1" applyFill="1" applyBorder="1"/>
    <xf numFmtId="2" fontId="8" fillId="2" borderId="0" xfId="7" applyNumberFormat="1" applyFont="1" applyFill="1" applyBorder="1"/>
    <xf numFmtId="166" fontId="8" fillId="2" borderId="12" xfId="0" applyNumberFormat="1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/>
    </xf>
    <xf numFmtId="0" fontId="1" fillId="0" borderId="0" xfId="0" applyFont="1"/>
    <xf numFmtId="166" fontId="8" fillId="2" borderId="12" xfId="0" applyNumberFormat="1" applyFont="1" applyFill="1" applyBorder="1"/>
    <xf numFmtId="166" fontId="9" fillId="2" borderId="14" xfId="0" applyNumberFormat="1" applyFont="1" applyFill="1" applyBorder="1"/>
    <xf numFmtId="0" fontId="12" fillId="2" borderId="0" xfId="0" applyFont="1" applyFill="1"/>
    <xf numFmtId="0" fontId="10" fillId="3" borderId="26" xfId="0" quotePrefix="1" applyFont="1" applyFill="1" applyBorder="1"/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0" fillId="7" borderId="0" xfId="0" applyFill="1"/>
    <xf numFmtId="0" fontId="14" fillId="3" borderId="25" xfId="0" quotePrefix="1" applyFont="1" applyFill="1" applyBorder="1"/>
    <xf numFmtId="0" fontId="10" fillId="3" borderId="25" xfId="0" quotePrefix="1" applyFont="1" applyFill="1" applyBorder="1"/>
    <xf numFmtId="0" fontId="14" fillId="3" borderId="2" xfId="0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1" fillId="0" borderId="18" xfId="0" applyFont="1" applyBorder="1"/>
    <xf numFmtId="0" fontId="10" fillId="0" borderId="15" xfId="0" quotePrefix="1" applyFont="1" applyBorder="1"/>
    <xf numFmtId="0" fontId="10" fillId="0" borderId="2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5" fillId="0" borderId="15" xfId="0" applyFont="1" applyBorder="1" applyAlignment="1">
      <alignment horizontal="left" indent="1"/>
    </xf>
    <xf numFmtId="2" fontId="15" fillId="0" borderId="18" xfId="0" quotePrefix="1" applyNumberFormat="1" applyFont="1" applyBorder="1" applyAlignment="1">
      <alignment horizontal="center"/>
    </xf>
    <xf numFmtId="165" fontId="0" fillId="0" borderId="15" xfId="7" applyNumberFormat="1" applyFont="1" applyFill="1" applyBorder="1" applyAlignment="1">
      <alignment horizontal="right" indent="1"/>
    </xf>
    <xf numFmtId="165" fontId="0" fillId="0" borderId="0" xfId="7" applyNumberFormat="1" applyFont="1" applyFill="1" applyBorder="1"/>
    <xf numFmtId="165" fontId="0" fillId="0" borderId="0" xfId="7" applyNumberFormat="1" applyFont="1" applyFill="1" applyBorder="1" applyAlignment="1">
      <alignment horizontal="right"/>
    </xf>
    <xf numFmtId="10" fontId="0" fillId="0" borderId="20" xfId="1" applyNumberFormat="1" applyFont="1" applyFill="1" applyBorder="1"/>
    <xf numFmtId="0" fontId="0" fillId="8" borderId="15" xfId="0" applyFill="1" applyBorder="1" applyAlignment="1">
      <alignment horizontal="left" indent="1"/>
    </xf>
    <xf numFmtId="165" fontId="0" fillId="9" borderId="15" xfId="7" applyNumberFormat="1" applyFont="1" applyFill="1" applyBorder="1"/>
    <xf numFmtId="10" fontId="0" fillId="9" borderId="20" xfId="1" applyNumberFormat="1" applyFont="1" applyFill="1" applyBorder="1" applyAlignment="1">
      <alignment horizontal="right"/>
    </xf>
    <xf numFmtId="165" fontId="13" fillId="9" borderId="15" xfId="7" applyNumberFormat="1" applyFont="1" applyFill="1" applyBorder="1" applyAlignment="1">
      <alignment horizontal="right"/>
    </xf>
    <xf numFmtId="10" fontId="13" fillId="9" borderId="15" xfId="1" applyNumberFormat="1" applyFont="1" applyFill="1" applyBorder="1" applyAlignment="1">
      <alignment horizontal="right"/>
    </xf>
    <xf numFmtId="10" fontId="0" fillId="9" borderId="20" xfId="1" applyNumberFormat="1" applyFont="1" applyFill="1" applyBorder="1"/>
    <xf numFmtId="165" fontId="0" fillId="0" borderId="15" xfId="7" applyNumberFormat="1" applyFont="1" applyFill="1" applyBorder="1"/>
    <xf numFmtId="165" fontId="0" fillId="9" borderId="0" xfId="7" applyNumberFormat="1" applyFont="1" applyFill="1" applyBorder="1"/>
    <xf numFmtId="0" fontId="0" fillId="7" borderId="15" xfId="0" applyFill="1" applyBorder="1" applyAlignment="1">
      <alignment horizontal="left" indent="1"/>
    </xf>
    <xf numFmtId="2" fontId="16" fillId="7" borderId="18" xfId="0" quotePrefix="1" applyNumberFormat="1" applyFont="1" applyFill="1" applyBorder="1" applyAlignment="1">
      <alignment horizontal="center"/>
    </xf>
    <xf numFmtId="165" fontId="0" fillId="7" borderId="15" xfId="7" applyNumberFormat="1" applyFont="1" applyFill="1" applyBorder="1" applyAlignment="1">
      <alignment horizontal="right" indent="1"/>
    </xf>
    <xf numFmtId="164" fontId="0" fillId="7" borderId="20" xfId="7" applyNumberFormat="1" applyFont="1" applyFill="1" applyBorder="1" applyAlignment="1">
      <alignment horizontal="right" indent="1"/>
    </xf>
    <xf numFmtId="165" fontId="0" fillId="7" borderId="15" xfId="7" applyNumberFormat="1" applyFont="1" applyFill="1" applyBorder="1" applyAlignment="1">
      <alignment horizontal="left" indent="1"/>
    </xf>
    <xf numFmtId="165" fontId="13" fillId="5" borderId="15" xfId="7" applyNumberFormat="1" applyFont="1" applyFill="1" applyBorder="1" applyAlignment="1">
      <alignment horizontal="right"/>
    </xf>
    <xf numFmtId="10" fontId="13" fillId="7" borderId="15" xfId="1" applyNumberFormat="1" applyFont="1" applyFill="1" applyBorder="1" applyAlignment="1">
      <alignment horizontal="right"/>
    </xf>
    <xf numFmtId="10" fontId="0" fillId="7" borderId="20" xfId="1" applyNumberFormat="1" applyFont="1" applyFill="1" applyBorder="1"/>
    <xf numFmtId="165" fontId="0" fillId="7" borderId="0" xfId="7" applyNumberFormat="1" applyFont="1" applyFill="1" applyBorder="1" applyAlignment="1">
      <alignment horizontal="left" indent="1"/>
    </xf>
    <xf numFmtId="0" fontId="0" fillId="7" borderId="0" xfId="0" applyFill="1" applyAlignment="1">
      <alignment horizontal="right"/>
    </xf>
    <xf numFmtId="165" fontId="0" fillId="7" borderId="0" xfId="7" applyNumberFormat="1" applyFont="1" applyFill="1" applyBorder="1" applyAlignment="1">
      <alignment horizontal="right" indent="1"/>
    </xf>
    <xf numFmtId="10" fontId="0" fillId="7" borderId="20" xfId="7" applyNumberFormat="1" applyFont="1" applyFill="1" applyBorder="1" applyAlignment="1">
      <alignment horizontal="left" indent="1"/>
    </xf>
    <xf numFmtId="0" fontId="15" fillId="0" borderId="18" xfId="0" quotePrefix="1" applyFont="1" applyBorder="1" applyAlignment="1">
      <alignment horizontal="center"/>
    </xf>
    <xf numFmtId="164" fontId="0" fillId="0" borderId="20" xfId="7" applyNumberFormat="1" applyFont="1" applyBorder="1" applyAlignment="1">
      <alignment horizontal="right" indent="1"/>
    </xf>
    <xf numFmtId="165" fontId="0" fillId="0" borderId="15" xfId="7" applyNumberFormat="1" applyFont="1" applyBorder="1" applyAlignment="1">
      <alignment horizontal="left" indent="1"/>
    </xf>
    <xf numFmtId="165" fontId="13" fillId="0" borderId="15" xfId="7" applyNumberFormat="1" applyFont="1" applyFill="1" applyBorder="1" applyAlignment="1">
      <alignment horizontal="right"/>
    </xf>
    <xf numFmtId="10" fontId="13" fillId="10" borderId="15" xfId="1" applyNumberFormat="1" applyFont="1" applyFill="1" applyBorder="1" applyAlignment="1">
      <alignment horizontal="right"/>
    </xf>
    <xf numFmtId="165" fontId="0" fillId="0" borderId="0" xfId="7" applyNumberFormat="1" applyFont="1" applyFill="1" applyBorder="1" applyAlignment="1">
      <alignment horizontal="left" indent="1"/>
    </xf>
    <xf numFmtId="165" fontId="0" fillId="0" borderId="15" xfId="7" applyNumberFormat="1" applyFont="1" applyFill="1" applyBorder="1" applyAlignment="1">
      <alignment horizontal="left" indent="1"/>
    </xf>
    <xf numFmtId="165" fontId="0" fillId="0" borderId="0" xfId="7" applyNumberFormat="1" applyFont="1" applyBorder="1" applyAlignment="1">
      <alignment horizontal="left" indent="1"/>
    </xf>
    <xf numFmtId="10" fontId="0" fillId="0" borderId="20" xfId="7" applyNumberFormat="1" applyFont="1" applyBorder="1" applyAlignment="1">
      <alignment horizontal="left" indent="1"/>
    </xf>
    <xf numFmtId="0" fontId="15" fillId="8" borderId="15" xfId="0" applyFont="1" applyFill="1" applyBorder="1" applyAlignment="1">
      <alignment horizontal="left" indent="1"/>
    </xf>
    <xf numFmtId="10" fontId="0" fillId="0" borderId="20" xfId="1" applyNumberFormat="1" applyFont="1" applyFill="1" applyBorder="1" applyAlignment="1">
      <alignment horizontal="right"/>
    </xf>
    <xf numFmtId="165" fontId="0" fillId="5" borderId="15" xfId="7" applyNumberFormat="1" applyFont="1" applyFill="1" applyBorder="1" applyAlignment="1">
      <alignment horizontal="left" indent="1"/>
    </xf>
    <xf numFmtId="165" fontId="0" fillId="5" borderId="15" xfId="7" applyNumberFormat="1" applyFont="1" applyFill="1" applyBorder="1" applyAlignment="1">
      <alignment horizontal="right" indent="1"/>
    </xf>
    <xf numFmtId="10" fontId="13" fillId="0" borderId="15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7" applyNumberFormat="1" applyFont="1" applyFill="1" applyBorder="1" applyAlignment="1">
      <alignment horizontal="right" indent="1"/>
    </xf>
    <xf numFmtId="10" fontId="0" fillId="0" borderId="20" xfId="7" applyNumberFormat="1" applyFont="1" applyFill="1" applyBorder="1" applyAlignment="1">
      <alignment horizontal="left" indent="1"/>
    </xf>
    <xf numFmtId="0" fontId="0" fillId="0" borderId="15" xfId="0" applyBorder="1" applyAlignment="1">
      <alignment horizontal="left" indent="1"/>
    </xf>
    <xf numFmtId="165" fontId="0" fillId="9" borderId="0" xfId="7" applyNumberFormat="1" applyFont="1" applyFill="1" applyBorder="1" applyAlignment="1">
      <alignment horizontal="left" indent="1"/>
    </xf>
    <xf numFmtId="164" fontId="0" fillId="0" borderId="20" xfId="7" applyNumberFormat="1" applyFont="1" applyFill="1" applyBorder="1" applyAlignment="1">
      <alignment horizontal="right" indent="1"/>
    </xf>
    <xf numFmtId="10" fontId="0" fillId="0" borderId="20" xfId="1" applyNumberFormat="1" applyFont="1" applyBorder="1"/>
    <xf numFmtId="165" fontId="0" fillId="0" borderId="15" xfId="7" applyNumberFormat="1" applyFont="1" applyBorder="1" applyAlignment="1">
      <alignment horizontal="right" indent="1"/>
    </xf>
    <xf numFmtId="165" fontId="0" fillId="9" borderId="15" xfId="7" applyNumberFormat="1" applyFont="1" applyFill="1" applyBorder="1" applyAlignment="1">
      <alignment horizontal="right" indent="1"/>
    </xf>
    <xf numFmtId="0" fontId="15" fillId="7" borderId="15" xfId="0" applyFont="1" applyFill="1" applyBorder="1" applyAlignment="1">
      <alignment horizontal="left" indent="1"/>
    </xf>
    <xf numFmtId="0" fontId="15" fillId="7" borderId="18" xfId="0" quotePrefix="1" applyFont="1" applyFill="1" applyBorder="1" applyAlignment="1">
      <alignment horizontal="center"/>
    </xf>
    <xf numFmtId="165" fontId="13" fillId="7" borderId="15" xfId="7" applyNumberFormat="1" applyFont="1" applyFill="1" applyBorder="1" applyAlignment="1">
      <alignment horizontal="right"/>
    </xf>
    <xf numFmtId="165" fontId="0" fillId="7" borderId="0" xfId="7" applyNumberFormat="1" applyFont="1" applyFill="1" applyBorder="1"/>
    <xf numFmtId="165" fontId="0" fillId="0" borderId="0" xfId="7" applyNumberFormat="1" applyFont="1" applyBorder="1" applyAlignment="1">
      <alignment horizontal="right" indent="1"/>
    </xf>
    <xf numFmtId="165" fontId="0" fillId="0" borderId="15" xfId="7" applyNumberFormat="1" applyFont="1" applyFill="1" applyBorder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165" fontId="0" fillId="0" borderId="15" xfId="7" applyNumberFormat="1" applyFont="1" applyBorder="1" applyAlignment="1">
      <alignment horizontal="center"/>
    </xf>
    <xf numFmtId="164" fontId="0" fillId="0" borderId="20" xfId="7" applyNumberFormat="1" applyFont="1" applyBorder="1" applyAlignment="1">
      <alignment horizontal="left" indent="1"/>
    </xf>
    <xf numFmtId="164" fontId="0" fillId="0" borderId="20" xfId="1" applyNumberFormat="1" applyFont="1" applyBorder="1" applyAlignment="1">
      <alignment horizontal="right"/>
    </xf>
    <xf numFmtId="165" fontId="0" fillId="0" borderId="15" xfId="7" applyNumberFormat="1" applyFont="1" applyBorder="1" applyAlignment="1">
      <alignment horizontal="right"/>
    </xf>
    <xf numFmtId="165" fontId="0" fillId="0" borderId="0" xfId="7" applyNumberFormat="1" applyFont="1" applyBorder="1" applyAlignment="1">
      <alignment horizontal="right"/>
    </xf>
    <xf numFmtId="0" fontId="0" fillId="0" borderId="18" xfId="0" quotePrefix="1" applyBorder="1" applyAlignment="1">
      <alignment horizontal="left" indent="1"/>
    </xf>
    <xf numFmtId="0" fontId="0" fillId="0" borderId="15" xfId="0" quotePrefix="1" applyBorder="1" applyAlignment="1">
      <alignment horizontal="right" indent="1"/>
    </xf>
    <xf numFmtId="164" fontId="0" fillId="0" borderId="0" xfId="7" applyNumberFormat="1" applyFont="1" applyBorder="1" applyAlignment="1">
      <alignment horizontal="right" indent="1"/>
    </xf>
    <xf numFmtId="165" fontId="1" fillId="4" borderId="1" xfId="7" applyNumberFormat="1" applyFont="1" applyFill="1" applyBorder="1"/>
    <xf numFmtId="10" fontId="1" fillId="9" borderId="27" xfId="1" applyNumberFormat="1" applyFont="1" applyFill="1" applyBorder="1" applyAlignment="1">
      <alignment horizontal="right"/>
    </xf>
    <xf numFmtId="10" fontId="1" fillId="4" borderId="27" xfId="1" applyNumberFormat="1" applyFont="1" applyFill="1" applyBorder="1" applyAlignment="1">
      <alignment horizontal="right"/>
    </xf>
    <xf numFmtId="165" fontId="1" fillId="4" borderId="2" xfId="7" applyNumberFormat="1" applyFont="1" applyFill="1" applyBorder="1"/>
    <xf numFmtId="10" fontId="1" fillId="9" borderId="3" xfId="1" applyNumberFormat="1" applyFont="1" applyFill="1" applyBorder="1"/>
    <xf numFmtId="10" fontId="1" fillId="4" borderId="3" xfId="1" applyNumberFormat="1" applyFont="1" applyFill="1" applyBorder="1"/>
    <xf numFmtId="0" fontId="1" fillId="4" borderId="16" xfId="0" applyFont="1" applyFill="1" applyBorder="1"/>
    <xf numFmtId="0" fontId="1" fillId="4" borderId="19" xfId="0" applyFont="1" applyFill="1" applyBorder="1"/>
    <xf numFmtId="165" fontId="1" fillId="4" borderId="16" xfId="7" applyNumberFormat="1" applyFont="1" applyFill="1" applyBorder="1"/>
    <xf numFmtId="10" fontId="1" fillId="4" borderId="28" xfId="1" applyNumberFormat="1" applyFont="1" applyFill="1" applyBorder="1" applyAlignment="1">
      <alignment horizontal="right"/>
    </xf>
    <xf numFmtId="10" fontId="1" fillId="4" borderId="21" xfId="1" applyNumberFormat="1" applyFont="1" applyFill="1" applyBorder="1"/>
    <xf numFmtId="165" fontId="1" fillId="4" borderId="22" xfId="7" applyNumberFormat="1" applyFont="1" applyFill="1" applyBorder="1"/>
    <xf numFmtId="9" fontId="1" fillId="4" borderId="29" xfId="1" applyFont="1" applyFill="1" applyBorder="1"/>
    <xf numFmtId="165" fontId="1" fillId="4" borderId="22" xfId="7" applyNumberFormat="1" applyFont="1" applyFill="1" applyBorder="1" applyAlignment="1">
      <alignment horizontal="right"/>
    </xf>
    <xf numFmtId="165" fontId="1" fillId="4" borderId="21" xfId="7" applyNumberFormat="1" applyFont="1" applyFill="1" applyBorder="1"/>
    <xf numFmtId="9" fontId="0" fillId="4" borderId="21" xfId="1" applyFont="1" applyFill="1" applyBorder="1"/>
    <xf numFmtId="165" fontId="0" fillId="4" borderId="21" xfId="7" applyNumberFormat="1" applyFont="1" applyFill="1" applyBorder="1"/>
    <xf numFmtId="165" fontId="0" fillId="0" borderId="0" xfId="0" applyNumberFormat="1"/>
    <xf numFmtId="168" fontId="8" fillId="2" borderId="6" xfId="0" applyNumberFormat="1" applyFont="1" applyFill="1" applyBorder="1"/>
    <xf numFmtId="0" fontId="12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167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167" fontId="17" fillId="0" borderId="0" xfId="0" applyNumberFormat="1" applyFont="1" applyAlignment="1">
      <alignment wrapText="1"/>
    </xf>
    <xf numFmtId="0" fontId="0" fillId="2" borderId="0" xfId="0" applyFont="1" applyFill="1"/>
    <xf numFmtId="0" fontId="0" fillId="0" borderId="0" xfId="0" applyFont="1"/>
    <xf numFmtId="4" fontId="8" fillId="2" borderId="6" xfId="7" applyNumberFormat="1" applyFont="1" applyFill="1" applyBorder="1" applyAlignment="1">
      <alignment horizontal="right" vertical="center"/>
    </xf>
    <xf numFmtId="4" fontId="9" fillId="2" borderId="6" xfId="7" applyNumberFormat="1" applyFont="1" applyFill="1" applyBorder="1" applyAlignment="1">
      <alignment horizontal="right" vertical="center"/>
    </xf>
    <xf numFmtId="4" fontId="9" fillId="2" borderId="6" xfId="7" applyNumberFormat="1" applyFont="1" applyFill="1" applyBorder="1" applyAlignment="1">
      <alignment horizontal="right" vertical="center" wrapText="1"/>
    </xf>
    <xf numFmtId="166" fontId="8" fillId="2" borderId="6" xfId="7" applyNumberFormat="1" applyFont="1" applyFill="1" applyBorder="1" applyAlignment="1">
      <alignment horizontal="right" vertical="center"/>
    </xf>
    <xf numFmtId="166" fontId="9" fillId="2" borderId="6" xfId="7" applyNumberFormat="1" applyFont="1" applyFill="1" applyBorder="1" applyAlignment="1">
      <alignment horizontal="right" vertical="center"/>
    </xf>
    <xf numFmtId="43" fontId="8" fillId="2" borderId="6" xfId="7" applyFont="1" applyFill="1" applyBorder="1" applyAlignment="1">
      <alignment horizontal="right" vertical="center"/>
    </xf>
    <xf numFmtId="43" fontId="9" fillId="2" borderId="6" xfId="7" applyFont="1" applyFill="1" applyBorder="1" applyAlignment="1">
      <alignment horizontal="right" vertical="center"/>
    </xf>
    <xf numFmtId="43" fontId="9" fillId="2" borderId="6" xfId="7" applyFont="1" applyFill="1" applyBorder="1" applyAlignment="1">
      <alignment horizontal="right" vertical="center" wrapText="1"/>
    </xf>
    <xf numFmtId="166" fontId="9" fillId="2" borderId="6" xfId="7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65" fontId="8" fillId="2" borderId="6" xfId="7" applyNumberFormat="1" applyFont="1" applyFill="1" applyBorder="1" applyAlignment="1">
      <alignment horizontal="center" vertical="center"/>
    </xf>
    <xf numFmtId="43" fontId="8" fillId="2" borderId="6" xfId="7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3" fontId="8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5" fontId="9" fillId="2" borderId="6" xfId="7" applyNumberFormat="1" applyFont="1" applyFill="1" applyBorder="1" applyAlignment="1">
      <alignment horizontal="center" vertical="center"/>
    </xf>
    <xf numFmtId="43" fontId="9" fillId="2" borderId="6" xfId="7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9" fillId="2" borderId="14" xfId="7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8" fillId="2" borderId="6" xfId="0" applyFont="1" applyFill="1" applyBorder="1" applyAlignment="1">
      <alignment vertical="center" textRotation="180" wrapText="1"/>
    </xf>
    <xf numFmtId="0" fontId="9" fillId="2" borderId="7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168" fontId="8" fillId="2" borderId="6" xfId="7" applyNumberFormat="1" applyFont="1" applyFill="1" applyBorder="1" applyAlignment="1">
      <alignment horizontal="right" vertical="center"/>
    </xf>
    <xf numFmtId="168" fontId="9" fillId="2" borderId="6" xfId="7" applyNumberFormat="1" applyFont="1" applyFill="1" applyBorder="1" applyAlignment="1">
      <alignment horizontal="right" vertical="center"/>
    </xf>
    <xf numFmtId="168" fontId="9" fillId="2" borderId="6" xfId="7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indent="1"/>
    </xf>
    <xf numFmtId="2" fontId="16" fillId="0" borderId="18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10" fontId="0" fillId="0" borderId="0" xfId="1" applyNumberFormat="1" applyFont="1"/>
    <xf numFmtId="0" fontId="8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</cellXfs>
  <cellStyles count="8">
    <cellStyle name="Comma" xfId="7" builtinId="3"/>
    <cellStyle name="Head text" xfId="5" xr:uid="{07AD0B3A-20EC-493D-BDDE-7BE5C87BF6B3}"/>
    <cellStyle name="Head text highlight" xfId="4" xr:uid="{334B5554-637F-4DA9-879B-820C3148F980}"/>
    <cellStyle name="Head Title" xfId="2" xr:uid="{06DFDFF8-29E1-4CE9-9594-1253EF73F09D}"/>
    <cellStyle name="Head Unit" xfId="3" xr:uid="{475A7CE2-8DDA-494D-8160-2F0EB16EEE52}"/>
    <cellStyle name="Normal" xfId="0" builtinId="0"/>
    <cellStyle name="Percent" xfId="1" builtinId="5"/>
    <cellStyle name="Total" xfId="6" xr:uid="{4856BBDC-7EDD-473B-8983-8D96DFC90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1212%20EU%20Taxonomy_Petrom%20Gro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verview%202022%20EU%20Taxonomy_Petrom%20Gro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Q4%20EU%20Taxonomy_for%20OM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OMV Petrom KPI"/>
    </sheetNames>
    <sheetDataSet>
      <sheetData sheetId="0"/>
      <sheetData sheetId="1">
        <row r="14">
          <cell r="P14">
            <v>92187.320657999997</v>
          </cell>
          <cell r="T14">
            <v>11385.11720800002</v>
          </cell>
          <cell r="U14">
            <v>578251.452259999</v>
          </cell>
        </row>
        <row r="15">
          <cell r="P15">
            <v>15241.37595</v>
          </cell>
          <cell r="T15">
            <v>1552.6890399999997</v>
          </cell>
        </row>
        <row r="16">
          <cell r="T16">
            <v>165.417</v>
          </cell>
        </row>
        <row r="17">
          <cell r="P17">
            <v>1045.47</v>
          </cell>
        </row>
        <row r="18">
          <cell r="P18">
            <v>1923.9161999999999</v>
          </cell>
        </row>
        <row r="19">
          <cell r="P19">
            <v>13429.63737</v>
          </cell>
          <cell r="T19">
            <v>949.178</v>
          </cell>
        </row>
        <row r="20">
          <cell r="P20">
            <v>12038.49</v>
          </cell>
        </row>
        <row r="21">
          <cell r="P21">
            <v>70225.054440000007</v>
          </cell>
          <cell r="T21">
            <v>22177.789009999997</v>
          </cell>
          <cell r="U21"/>
        </row>
        <row r="22">
          <cell r="P22">
            <v>5604.2372599999999</v>
          </cell>
          <cell r="T22">
            <v>9623.0415300000022</v>
          </cell>
        </row>
        <row r="23">
          <cell r="P23">
            <v>4936.2085600000009</v>
          </cell>
          <cell r="T23">
            <v>12397.22105</v>
          </cell>
          <cell r="U23">
            <v>1039.63069</v>
          </cell>
        </row>
        <row r="24">
          <cell r="P24">
            <v>91330.71</v>
          </cell>
          <cell r="T24">
            <v>47688.806090000005</v>
          </cell>
          <cell r="U24">
            <v>10401518.547219999</v>
          </cell>
        </row>
        <row r="25">
          <cell r="P25">
            <v>22996.133460000001</v>
          </cell>
          <cell r="T25">
            <v>6956.6193400000038</v>
          </cell>
          <cell r="U25">
            <v>5332.5444600000001</v>
          </cell>
        </row>
        <row r="26">
          <cell r="P26">
            <v>6555.1773700000003</v>
          </cell>
          <cell r="U26">
            <v>5334.5782600000002</v>
          </cell>
        </row>
        <row r="28">
          <cell r="P28">
            <v>46171.673510000001</v>
          </cell>
          <cell r="T28">
            <v>8990.7165000000005</v>
          </cell>
        </row>
        <row r="29">
          <cell r="P29">
            <v>17812.390729999999</v>
          </cell>
        </row>
        <row r="31">
          <cell r="P31">
            <v>17448.42986</v>
          </cell>
        </row>
        <row r="32">
          <cell r="P32">
            <v>6378.8108000000002</v>
          </cell>
        </row>
        <row r="37">
          <cell r="P37">
            <v>1664.2109396600003</v>
          </cell>
        </row>
        <row r="38">
          <cell r="P38">
            <v>16395.083753835341</v>
          </cell>
        </row>
        <row r="39">
          <cell r="P39">
            <v>4720.7851600000013</v>
          </cell>
        </row>
        <row r="45">
          <cell r="T45">
            <v>564.05399999999997</v>
          </cell>
        </row>
        <row r="46">
          <cell r="T46">
            <v>17056.056170000003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OMV Petrom KPI_2021"/>
      <sheetName val="Summary"/>
    </sheetNames>
    <sheetDataSet>
      <sheetData sheetId="0"/>
      <sheetData sheetId="1">
        <row r="14">
          <cell r="O14">
            <v>76250.104999999996</v>
          </cell>
          <cell r="S14">
            <v>14006.25</v>
          </cell>
          <cell r="T14">
            <v>556231.98378999974</v>
          </cell>
        </row>
        <row r="15">
          <cell r="O15">
            <v>611.45000000000005</v>
          </cell>
        </row>
        <row r="16">
          <cell r="O16">
            <v>4983.3580000000002</v>
          </cell>
        </row>
        <row r="17">
          <cell r="O17">
            <v>2024.1610000000001</v>
          </cell>
          <cell r="S17">
            <v>9825.0242699999999</v>
          </cell>
          <cell r="T17">
            <v>1012.3134700000001</v>
          </cell>
        </row>
        <row r="18">
          <cell r="O18">
            <v>9058.98</v>
          </cell>
        </row>
        <row r="19">
          <cell r="O19">
            <v>48554.03</v>
          </cell>
          <cell r="S19">
            <v>9136.8906099999986</v>
          </cell>
        </row>
        <row r="20">
          <cell r="O20">
            <v>6447.165</v>
          </cell>
          <cell r="S20">
            <v>411.55</v>
          </cell>
        </row>
        <row r="21">
          <cell r="S21">
            <v>4168.6667999999991</v>
          </cell>
        </row>
        <row r="22">
          <cell r="S22">
            <v>109.74872000000003</v>
          </cell>
        </row>
        <row r="23">
          <cell r="S23">
            <v>73.242949999999993</v>
          </cell>
        </row>
        <row r="24">
          <cell r="O24">
            <v>3405.8</v>
          </cell>
        </row>
        <row r="25">
          <cell r="S25">
            <v>4995.9781599999997</v>
          </cell>
        </row>
        <row r="26">
          <cell r="O26">
            <v>19189.156999999999</v>
          </cell>
        </row>
        <row r="27">
          <cell r="O27">
            <v>6253.7349999999997</v>
          </cell>
          <cell r="S27">
            <v>4029.47</v>
          </cell>
        </row>
        <row r="28">
          <cell r="S28">
            <v>790.19200000000001</v>
          </cell>
        </row>
        <row r="29">
          <cell r="S29">
            <v>6748.87309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 Table GV "/>
      <sheetName val="Sales KPI "/>
      <sheetName val="CAPEX KPI"/>
      <sheetName val="OPEX KPI"/>
      <sheetName val="OMV CapEx OpEx workshop view"/>
      <sheetName val="FSWS"/>
      <sheetName val="Short Term Leases"/>
    </sheetNames>
    <sheetDataSet>
      <sheetData sheetId="0"/>
      <sheetData sheetId="1">
        <row r="18">
          <cell r="D18">
            <v>61344442.557877697</v>
          </cell>
        </row>
      </sheetData>
      <sheetData sheetId="2">
        <row r="18">
          <cell r="G18">
            <v>3591756.4656345202</v>
          </cell>
        </row>
      </sheetData>
      <sheetData sheetId="3">
        <row r="40">
          <cell r="D40">
            <v>50094.336960000001</v>
          </cell>
          <cell r="M40">
            <v>15015.467346067993</v>
          </cell>
          <cell r="U40">
            <v>674544.96458360704</v>
          </cell>
          <cell r="V40">
            <v>844559.45656659815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adulescu, Mihaela" id="{633D86ED-2FDC-4FEC-9387-C8B84B48B421}" userId="S::Mihaela.Radulescu@petrom.com::62f0780c-ffc8-48e6-90e8-936668799c9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23-01-30T12:37:39.87" personId="{633D86ED-2FDC-4FEC-9387-C8B84B48B421}" id="{0B4AA0AC-0C1C-4D38-9162-8FBA3E5A6DB2}">
    <text>Comparative figures to be provided</text>
  </threadedComment>
  <threadedComment ref="E11" dT="2023-01-30T12:37:39.87" personId="{633D86ED-2FDC-4FEC-9387-C8B84B48B421}" id="{6E0B8583-61EA-44EF-8CE3-227490135CFF}">
    <text>Comparative figures to be provided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7D524-A690-43C0-AEBB-F730E4D22E04}">
  <sheetPr>
    <tabColor rgb="FF00B050"/>
  </sheetPr>
  <dimension ref="A1:Y27"/>
  <sheetViews>
    <sheetView tabSelected="1" zoomScale="70" zoomScaleNormal="70" workbookViewId="0">
      <selection activeCell="E33" sqref="E33"/>
    </sheetView>
  </sheetViews>
  <sheetFormatPr defaultColWidth="10.81640625" defaultRowHeight="12.5" outlineLevelCol="1" x14ac:dyDescent="0.25"/>
  <cols>
    <col min="1" max="1" width="1.26953125" customWidth="1"/>
    <col min="2" max="2" width="40" style="1" customWidth="1"/>
    <col min="3" max="3" width="6.26953125" customWidth="1"/>
    <col min="4" max="4" width="12.81640625" bestFit="1" customWidth="1"/>
    <col min="5" max="5" width="9.54296875" customWidth="1"/>
    <col min="6" max="7" width="7.1796875" customWidth="1"/>
    <col min="8" max="9" width="7.1796875" customWidth="1" outlineLevel="1"/>
    <col min="10" max="10" width="11.1796875" bestFit="1" customWidth="1" outlineLevel="1"/>
    <col min="11" max="11" width="7.1796875" customWidth="1" outlineLevel="1"/>
    <col min="12" max="18" width="7.1796875" customWidth="1"/>
    <col min="20" max="20" width="11.453125" customWidth="1" outlineLevel="1"/>
    <col min="23" max="23" width="2" customWidth="1"/>
  </cols>
  <sheetData>
    <row r="1" spans="1:25" ht="10.5" customHeight="1" x14ac:dyDescent="0.2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7">
        <v>1000</v>
      </c>
      <c r="T1" s="67"/>
      <c r="U1" s="3">
        <v>1000</v>
      </c>
      <c r="V1" s="3"/>
      <c r="W1" s="3"/>
      <c r="X1" s="3"/>
      <c r="Y1" s="3"/>
    </row>
    <row r="2" spans="1:25" ht="18.649999999999999" customHeight="1" thickBot="1" x14ac:dyDescent="0.35">
      <c r="A2" s="3"/>
      <c r="B2" s="5"/>
      <c r="C2" s="6"/>
      <c r="D2" s="6"/>
      <c r="E2" s="6"/>
      <c r="F2" s="226" t="s">
        <v>14</v>
      </c>
      <c r="G2" s="226"/>
      <c r="H2" s="226"/>
      <c r="I2" s="226"/>
      <c r="J2" s="226"/>
      <c r="K2" s="226"/>
      <c r="L2" s="227" t="s">
        <v>15</v>
      </c>
      <c r="M2" s="227"/>
      <c r="N2" s="227"/>
      <c r="O2" s="227"/>
      <c r="P2" s="227"/>
      <c r="Q2" s="227"/>
      <c r="R2" s="15"/>
      <c r="S2" s="4"/>
      <c r="T2" s="16"/>
      <c r="U2" s="16"/>
      <c r="V2" s="16"/>
      <c r="W2" s="3"/>
      <c r="X2" s="3"/>
      <c r="Y2" s="3"/>
    </row>
    <row r="3" spans="1:25" s="1" customFormat="1" ht="119.25" customHeight="1" thickTop="1" x14ac:dyDescent="0.3">
      <c r="A3" s="2"/>
      <c r="B3" s="5" t="s">
        <v>16</v>
      </c>
      <c r="C3" s="7" t="s">
        <v>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  <c r="R3" s="17" t="s">
        <v>31</v>
      </c>
      <c r="S3" s="25" t="s">
        <v>32</v>
      </c>
      <c r="T3" s="21" t="s">
        <v>33</v>
      </c>
      <c r="U3" s="8" t="s">
        <v>34</v>
      </c>
      <c r="V3" s="8" t="s">
        <v>35</v>
      </c>
      <c r="W3" s="2"/>
      <c r="X3" s="2"/>
      <c r="Y3" s="2"/>
    </row>
    <row r="4" spans="1:25" ht="13" x14ac:dyDescent="0.3">
      <c r="A4" s="3"/>
      <c r="B4" s="8"/>
      <c r="C4" s="30"/>
      <c r="D4" s="30" t="s">
        <v>100</v>
      </c>
      <c r="E4" s="30" t="s">
        <v>7</v>
      </c>
      <c r="F4" s="30" t="s">
        <v>7</v>
      </c>
      <c r="G4" s="30" t="s">
        <v>7</v>
      </c>
      <c r="H4" s="30" t="s">
        <v>36</v>
      </c>
      <c r="I4" s="30" t="s">
        <v>36</v>
      </c>
      <c r="J4" s="30" t="s">
        <v>36</v>
      </c>
      <c r="K4" s="30" t="s">
        <v>36</v>
      </c>
      <c r="L4" s="30" t="s">
        <v>37</v>
      </c>
      <c r="M4" s="30" t="s">
        <v>37</v>
      </c>
      <c r="N4" s="30" t="s">
        <v>37</v>
      </c>
      <c r="O4" s="30" t="s">
        <v>37</v>
      </c>
      <c r="P4" s="30" t="s">
        <v>37</v>
      </c>
      <c r="Q4" s="30" t="s">
        <v>37</v>
      </c>
      <c r="R4" s="18" t="s">
        <v>37</v>
      </c>
      <c r="S4" s="26" t="s">
        <v>7</v>
      </c>
      <c r="T4" s="22" t="s">
        <v>7</v>
      </c>
      <c r="U4" s="30" t="s">
        <v>8</v>
      </c>
      <c r="V4" s="30" t="s">
        <v>9</v>
      </c>
      <c r="W4" s="3"/>
      <c r="X4" s="3"/>
      <c r="Y4" s="3"/>
    </row>
    <row r="5" spans="1:25" ht="13" x14ac:dyDescent="0.3">
      <c r="A5" s="3"/>
      <c r="B5" s="9" t="s">
        <v>38</v>
      </c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7"/>
      <c r="T5" s="14"/>
      <c r="U5" s="14"/>
      <c r="V5" s="13"/>
      <c r="W5" s="3"/>
      <c r="X5" s="3"/>
      <c r="Y5" s="3"/>
    </row>
    <row r="6" spans="1:25" ht="26" x14ac:dyDescent="0.3">
      <c r="A6" s="3"/>
      <c r="B6" s="9" t="s">
        <v>39</v>
      </c>
      <c r="C6" s="181">
        <f>SUM(C5:C5)</f>
        <v>0</v>
      </c>
      <c r="D6" s="181">
        <f>SUM(D5:D5)</f>
        <v>0</v>
      </c>
      <c r="E6" s="181" t="s">
        <v>40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9"/>
      <c r="S6" s="28"/>
      <c r="T6" s="23"/>
      <c r="U6" s="6"/>
      <c r="V6" s="6"/>
      <c r="W6" s="3"/>
      <c r="X6" s="3"/>
      <c r="Y6" s="3"/>
    </row>
    <row r="7" spans="1:25" ht="13" x14ac:dyDescent="0.3">
      <c r="A7" s="3"/>
      <c r="B7" s="8" t="s">
        <v>40</v>
      </c>
      <c r="C7" s="201"/>
      <c r="D7" s="180"/>
      <c r="E7" s="180"/>
      <c r="F7" s="44"/>
      <c r="G7" s="44"/>
      <c r="H7" s="44"/>
      <c r="I7" s="44"/>
      <c r="J7" s="44"/>
      <c r="K7" s="44"/>
      <c r="L7" s="30"/>
      <c r="M7" s="30"/>
      <c r="N7" s="30"/>
      <c r="O7" s="30"/>
      <c r="P7" s="30"/>
      <c r="Q7" s="30"/>
      <c r="R7" s="18"/>
      <c r="S7" s="62"/>
      <c r="T7" s="22"/>
      <c r="U7" s="30"/>
      <c r="V7" s="30"/>
      <c r="W7" s="3"/>
      <c r="X7" s="3"/>
      <c r="Y7" s="3"/>
    </row>
    <row r="8" spans="1:25" ht="26.5" thickBot="1" x14ac:dyDescent="0.35">
      <c r="A8" s="3"/>
      <c r="B8" s="9" t="s">
        <v>41</v>
      </c>
      <c r="C8" s="181">
        <f>SUM(C7:C7)</f>
        <v>0</v>
      </c>
      <c r="D8" s="181">
        <f>SUM(D7:D7)</f>
        <v>0</v>
      </c>
      <c r="E8" s="181">
        <f>SUM(E7:E7)</f>
        <v>0</v>
      </c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11"/>
      <c r="M8" s="11"/>
      <c r="N8" s="11"/>
      <c r="O8" s="11"/>
      <c r="P8" s="11"/>
      <c r="Q8" s="11"/>
      <c r="R8" s="20"/>
      <c r="S8" s="63"/>
      <c r="T8" s="24"/>
      <c r="U8" s="11"/>
      <c r="V8" s="11"/>
      <c r="W8" s="3"/>
      <c r="X8" s="3"/>
      <c r="Y8" s="3"/>
    </row>
    <row r="9" spans="1:25" ht="38.25" customHeight="1" thickTop="1" x14ac:dyDescent="0.3">
      <c r="A9" s="3"/>
      <c r="B9" s="9" t="s">
        <v>42</v>
      </c>
      <c r="C9" s="201"/>
      <c r="D9" s="180"/>
      <c r="E9" s="180"/>
      <c r="F9" s="53"/>
      <c r="G9" s="53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8"/>
      <c r="T9" s="46"/>
      <c r="U9" s="46"/>
      <c r="V9" s="46"/>
      <c r="W9" s="3"/>
      <c r="X9" s="3"/>
      <c r="Y9" s="3"/>
    </row>
    <row r="10" spans="1:25" ht="13" x14ac:dyDescent="0.3">
      <c r="A10" s="3"/>
      <c r="B10" s="5" t="s">
        <v>43</v>
      </c>
      <c r="C10" s="201" t="s">
        <v>91</v>
      </c>
      <c r="D10" s="182">
        <f>Summary!C6/R1</f>
        <v>578.25145225999904</v>
      </c>
      <c r="E10" s="177">
        <f>D10/$D$18*100</f>
        <v>0.94263054345049468</v>
      </c>
      <c r="F10" s="54"/>
      <c r="G10" s="55"/>
      <c r="H10" s="47"/>
      <c r="I10" s="47"/>
      <c r="J10" s="47"/>
      <c r="K10" s="47"/>
      <c r="L10" s="48"/>
      <c r="M10" s="48"/>
      <c r="N10" s="48"/>
      <c r="O10" s="48"/>
      <c r="P10" s="48"/>
      <c r="Q10" s="48"/>
      <c r="R10" s="48"/>
      <c r="S10" s="47"/>
      <c r="T10" s="48"/>
      <c r="U10" s="48"/>
      <c r="V10" s="48"/>
      <c r="W10" s="3"/>
      <c r="X10" s="3"/>
      <c r="Y10" s="3"/>
    </row>
    <row r="11" spans="1:25" ht="13" x14ac:dyDescent="0.3">
      <c r="A11" s="3"/>
      <c r="B11" s="5" t="s">
        <v>44</v>
      </c>
      <c r="C11" s="201" t="s">
        <v>94</v>
      </c>
      <c r="D11" s="182">
        <f>Summary!C12/R1</f>
        <v>1.0396306899999999</v>
      </c>
      <c r="E11" s="177">
        <f>D11/$D$18*100</f>
        <v>1.6947430715001147E-3</v>
      </c>
      <c r="F11" s="54"/>
      <c r="G11" s="55"/>
      <c r="H11" s="47"/>
      <c r="I11" s="47"/>
      <c r="J11" s="47"/>
      <c r="K11" s="47"/>
      <c r="L11" s="48"/>
      <c r="M11" s="48"/>
      <c r="N11" s="48"/>
      <c r="O11" s="48"/>
      <c r="P11" s="48"/>
      <c r="Q11" s="48"/>
      <c r="R11" s="48"/>
      <c r="S11" s="47"/>
      <c r="T11" s="48"/>
      <c r="U11" s="48"/>
      <c r="V11" s="48"/>
      <c r="W11" s="3"/>
      <c r="X11" s="3"/>
      <c r="Y11" s="3"/>
    </row>
    <row r="12" spans="1:25" ht="13" x14ac:dyDescent="0.3">
      <c r="A12" s="3"/>
      <c r="B12" s="5" t="s">
        <v>46</v>
      </c>
      <c r="C12" s="201" t="s">
        <v>106</v>
      </c>
      <c r="D12" s="182">
        <f>Summary!C10/R1</f>
        <v>10406.851091679999</v>
      </c>
      <c r="E12" s="177">
        <f>D12/$D$18*100</f>
        <v>16.964619218540079</v>
      </c>
      <c r="F12" s="54"/>
      <c r="G12" s="55"/>
      <c r="H12" s="47"/>
      <c r="I12" s="47"/>
      <c r="J12" s="47"/>
      <c r="K12" s="47"/>
      <c r="L12" s="48"/>
      <c r="M12" s="48"/>
      <c r="N12" s="48"/>
      <c r="O12" s="48"/>
      <c r="P12" s="48"/>
      <c r="Q12" s="48"/>
      <c r="R12" s="48"/>
      <c r="S12" s="47"/>
      <c r="T12" s="48"/>
      <c r="U12" s="48"/>
      <c r="V12" s="48"/>
      <c r="W12" s="3"/>
      <c r="X12" s="3"/>
      <c r="Y12" s="3"/>
    </row>
    <row r="13" spans="1:25" ht="26" x14ac:dyDescent="0.3">
      <c r="A13" s="3"/>
      <c r="B13" s="5" t="s">
        <v>97</v>
      </c>
      <c r="C13" s="201" t="s">
        <v>107</v>
      </c>
      <c r="D13" s="182">
        <f>Summary!C11/R1</f>
        <v>5.3345782599999998</v>
      </c>
      <c r="E13" s="177">
        <f>D13/$D$18*100</f>
        <v>8.6961068314654472E-3</v>
      </c>
      <c r="F13" s="54"/>
      <c r="G13" s="55"/>
      <c r="H13" s="47"/>
      <c r="I13" s="47"/>
      <c r="J13" s="47"/>
      <c r="K13" s="47"/>
      <c r="L13" s="48"/>
      <c r="M13" s="48"/>
      <c r="N13" s="48"/>
      <c r="O13" s="48"/>
      <c r="P13" s="48"/>
      <c r="Q13" s="48"/>
      <c r="R13" s="48"/>
      <c r="S13" s="47"/>
      <c r="T13" s="48"/>
      <c r="U13" s="48"/>
      <c r="V13" s="48"/>
      <c r="W13" s="3"/>
      <c r="X13" s="3"/>
      <c r="Y13" s="3"/>
    </row>
    <row r="14" spans="1:25" ht="39" x14ac:dyDescent="0.3">
      <c r="A14" s="3"/>
      <c r="B14" s="9" t="s">
        <v>47</v>
      </c>
      <c r="C14" s="205"/>
      <c r="D14" s="183">
        <f>SUM(D10:D13)</f>
        <v>10991.476752889999</v>
      </c>
      <c r="E14" s="178">
        <f>D14/$D$18*100</f>
        <v>17.917640611893543</v>
      </c>
      <c r="F14" s="56"/>
      <c r="G14" s="5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"/>
      <c r="X14" s="3"/>
      <c r="Y14" s="3"/>
    </row>
    <row r="15" spans="1:25" ht="13" x14ac:dyDescent="0.3">
      <c r="A15" s="3"/>
      <c r="B15" s="9" t="s">
        <v>48</v>
      </c>
      <c r="C15" s="201"/>
      <c r="D15" s="183">
        <f>D14+D8</f>
        <v>10991.476752889999</v>
      </c>
      <c r="E15" s="178">
        <f>E14</f>
        <v>17.917640611893543</v>
      </c>
      <c r="F15" s="56"/>
      <c r="G15" s="57"/>
      <c r="H15" s="49"/>
      <c r="I15" s="52"/>
      <c r="J15" s="52"/>
      <c r="K15" s="52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"/>
      <c r="X15" s="3"/>
      <c r="Y15" s="3"/>
    </row>
    <row r="16" spans="1:25" ht="13" x14ac:dyDescent="0.3">
      <c r="A16" s="3"/>
      <c r="B16" s="9" t="s">
        <v>49</v>
      </c>
      <c r="C16" s="206"/>
      <c r="D16" s="184"/>
      <c r="E16" s="185"/>
      <c r="F16" s="58"/>
      <c r="G16" s="5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"/>
      <c r="X16" s="3"/>
      <c r="Y16" s="3"/>
    </row>
    <row r="17" spans="1:25" ht="13" x14ac:dyDescent="0.3">
      <c r="A17" s="3"/>
      <c r="B17" s="5" t="s">
        <v>50</v>
      </c>
      <c r="C17" s="201"/>
      <c r="D17" s="182">
        <f>Summary!C27/R1</f>
        <v>50352.965804987696</v>
      </c>
      <c r="E17" s="177">
        <f>D17/$D$18*100</f>
        <v>82.082359388106468</v>
      </c>
      <c r="F17" s="60"/>
      <c r="G17" s="6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3"/>
    </row>
    <row r="18" spans="1:25" ht="13" x14ac:dyDescent="0.3">
      <c r="A18" s="3"/>
      <c r="B18" s="9" t="s">
        <v>51</v>
      </c>
      <c r="C18" s="10"/>
      <c r="D18" s="183">
        <f>D15+D17</f>
        <v>61344.442557877694</v>
      </c>
      <c r="E18" s="181">
        <f>D18/$D$18*100</f>
        <v>100</v>
      </c>
      <c r="F18" s="60"/>
      <c r="G18" s="6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3"/>
    </row>
    <row r="19" spans="1:25" s="1" customFormat="1" ht="9.75" customHeight="1" x14ac:dyDescent="0.25"/>
    <row r="20" spans="1:25" s="1" customFormat="1" x14ac:dyDescent="0.25">
      <c r="B20" s="171"/>
      <c r="D20" s="174"/>
    </row>
    <row r="21" spans="1:25" s="1" customFormat="1" x14ac:dyDescent="0.25">
      <c r="B21" s="171"/>
      <c r="D21" s="174"/>
    </row>
    <row r="22" spans="1:25" s="1" customFormat="1" x14ac:dyDescent="0.25"/>
    <row r="23" spans="1:25" s="1" customFormat="1" x14ac:dyDescent="0.25"/>
    <row r="24" spans="1:25" s="1" customFormat="1" x14ac:dyDescent="0.25"/>
    <row r="25" spans="1:25" s="1" customFormat="1" x14ac:dyDescent="0.25"/>
    <row r="26" spans="1:25" s="1" customFormat="1" x14ac:dyDescent="0.25"/>
    <row r="27" spans="1:25" s="1" customFormat="1" x14ac:dyDescent="0.25"/>
  </sheetData>
  <mergeCells count="2">
    <mergeCell ref="F2:K2"/>
    <mergeCell ref="L2:Q2"/>
  </mergeCells>
  <pageMargins left="0.7" right="0.7" top="0.78740157499999996" bottom="0.78740157499999996" header="0.3" footer="0.3"/>
  <pageSetup paperSize="9" orientation="portrait" horizontalDpi="300" verticalDpi="300" r:id="rId1"/>
  <headerFooter>
    <oddFooter>&amp;C&amp;1#&amp;"Calibri"&amp;10&amp;K000000Internal</oddFooter>
  </headerFooter>
  <ignoredErrors>
    <ignoredError sqref="C11:C13 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CC6-7432-4C3E-AA5F-4DB4D5218503}">
  <sheetPr>
    <tabColor rgb="FF00B050"/>
  </sheetPr>
  <dimension ref="A1:Y36"/>
  <sheetViews>
    <sheetView topLeftCell="A7" zoomScale="101" zoomScaleNormal="85" workbookViewId="0">
      <selection activeCell="B28" sqref="B28:E32"/>
    </sheetView>
  </sheetViews>
  <sheetFormatPr defaultColWidth="10.81640625" defaultRowHeight="12.5" outlineLevelCol="1" x14ac:dyDescent="0.25"/>
  <cols>
    <col min="1" max="1" width="1.26953125" customWidth="1"/>
    <col min="2" max="2" width="40" style="1" customWidth="1"/>
    <col min="3" max="3" width="6.26953125" style="214" customWidth="1"/>
    <col min="4" max="4" width="10.81640625" customWidth="1"/>
    <col min="5" max="5" width="9.54296875" customWidth="1"/>
    <col min="6" max="7" width="7.1796875" customWidth="1"/>
    <col min="8" max="11" width="7.1796875" customWidth="1" outlineLevel="1"/>
    <col min="12" max="18" width="7.1796875" customWidth="1"/>
    <col min="20" max="20" width="11.453125" outlineLevel="1"/>
    <col min="23" max="23" width="2" customWidth="1"/>
  </cols>
  <sheetData>
    <row r="1" spans="1:25" ht="7.5" customHeight="1" x14ac:dyDescent="0.25">
      <c r="A1" s="3"/>
      <c r="B1" s="2"/>
      <c r="C1" s="20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1000</v>
      </c>
      <c r="S1" s="3"/>
      <c r="T1" s="3"/>
      <c r="U1" s="3"/>
      <c r="V1" s="3"/>
      <c r="W1" s="3"/>
      <c r="X1" s="3"/>
      <c r="Y1" s="3"/>
    </row>
    <row r="2" spans="1:25" ht="13.5" thickBot="1" x14ac:dyDescent="0.35">
      <c r="A2" s="3"/>
      <c r="B2" s="5"/>
      <c r="C2" s="186"/>
      <c r="D2" s="6"/>
      <c r="E2" s="6"/>
      <c r="F2" s="226" t="s">
        <v>14</v>
      </c>
      <c r="G2" s="226"/>
      <c r="H2" s="226"/>
      <c r="I2" s="226"/>
      <c r="J2" s="226"/>
      <c r="K2" s="226"/>
      <c r="L2" s="227" t="s">
        <v>15</v>
      </c>
      <c r="M2" s="227"/>
      <c r="N2" s="227"/>
      <c r="O2" s="227"/>
      <c r="P2" s="227"/>
      <c r="Q2" s="227"/>
      <c r="R2" s="15"/>
      <c r="S2" s="4"/>
      <c r="T2" s="16"/>
      <c r="U2" s="16"/>
      <c r="V2" s="16"/>
      <c r="W2" s="3"/>
      <c r="X2" s="3"/>
      <c r="Y2" s="3"/>
    </row>
    <row r="3" spans="1:25" s="1" customFormat="1" ht="119.25" customHeight="1" thickTop="1" x14ac:dyDescent="0.3">
      <c r="A3" s="2"/>
      <c r="B3" s="5" t="s">
        <v>16</v>
      </c>
      <c r="C3" s="208" t="s">
        <v>6</v>
      </c>
      <c r="D3" s="7" t="s">
        <v>61</v>
      </c>
      <c r="E3" s="7" t="s">
        <v>62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  <c r="R3" s="17" t="s">
        <v>31</v>
      </c>
      <c r="S3" s="25" t="s">
        <v>63</v>
      </c>
      <c r="T3" s="21" t="s">
        <v>64</v>
      </c>
      <c r="U3" s="8" t="s">
        <v>34</v>
      </c>
      <c r="V3" s="8" t="s">
        <v>35</v>
      </c>
      <c r="W3" s="2"/>
      <c r="X3" s="2"/>
      <c r="Y3" s="2"/>
    </row>
    <row r="4" spans="1:25" ht="13" x14ac:dyDescent="0.3">
      <c r="A4" s="3"/>
      <c r="B4" s="8"/>
      <c r="C4" s="192"/>
      <c r="D4" s="30" t="s">
        <v>100</v>
      </c>
      <c r="E4" s="30" t="s">
        <v>7</v>
      </c>
      <c r="F4" s="30" t="s">
        <v>7</v>
      </c>
      <c r="G4" s="30" t="s">
        <v>7</v>
      </c>
      <c r="H4" s="30" t="s">
        <v>7</v>
      </c>
      <c r="I4" s="30" t="s">
        <v>7</v>
      </c>
      <c r="J4" s="30" t="s">
        <v>7</v>
      </c>
      <c r="K4" s="30" t="s">
        <v>7</v>
      </c>
      <c r="L4" s="30" t="s">
        <v>37</v>
      </c>
      <c r="M4" s="30" t="s">
        <v>37</v>
      </c>
      <c r="N4" s="30" t="s">
        <v>37</v>
      </c>
      <c r="O4" s="30" t="s">
        <v>37</v>
      </c>
      <c r="P4" s="30" t="s">
        <v>37</v>
      </c>
      <c r="Q4" s="30" t="s">
        <v>37</v>
      </c>
      <c r="R4" s="18" t="s">
        <v>37</v>
      </c>
      <c r="S4" s="26" t="s">
        <v>7</v>
      </c>
      <c r="T4" s="22" t="s">
        <v>7</v>
      </c>
      <c r="U4" s="30" t="s">
        <v>8</v>
      </c>
      <c r="V4" s="30" t="s">
        <v>9</v>
      </c>
      <c r="W4" s="3"/>
      <c r="X4" s="3"/>
      <c r="Y4" s="3"/>
    </row>
    <row r="5" spans="1:25" ht="13" x14ac:dyDescent="0.3">
      <c r="A5" s="3"/>
      <c r="B5" s="9" t="s">
        <v>38</v>
      </c>
      <c r="C5" s="20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7"/>
      <c r="T5" s="14"/>
      <c r="U5" s="14"/>
      <c r="V5" s="13"/>
      <c r="W5" s="3"/>
      <c r="X5" s="3"/>
      <c r="Y5" s="3"/>
    </row>
    <row r="6" spans="1:25" ht="26" x14ac:dyDescent="0.3">
      <c r="A6" s="3"/>
      <c r="B6" s="9" t="s">
        <v>39</v>
      </c>
      <c r="C6" s="186"/>
      <c r="D6" s="169"/>
      <c r="E6" s="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  <c r="S6" s="188"/>
      <c r="T6" s="189"/>
      <c r="U6" s="186"/>
      <c r="V6" s="186"/>
      <c r="W6" s="3"/>
      <c r="X6" s="3"/>
      <c r="Y6" s="3"/>
    </row>
    <row r="7" spans="1:25" ht="26" x14ac:dyDescent="0.3">
      <c r="A7" s="3"/>
      <c r="B7" s="5" t="s">
        <v>67</v>
      </c>
      <c r="C7" s="210" t="s">
        <v>93</v>
      </c>
      <c r="D7" s="177">
        <f>Summary!G7/CapEx_EN!R1</f>
        <v>1.9239161999999999</v>
      </c>
      <c r="E7" s="177">
        <f>D7/$D$26*100</f>
        <v>5.3564773068769868E-2</v>
      </c>
      <c r="F7" s="190">
        <v>100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2"/>
      <c r="M7" s="192" t="s">
        <v>66</v>
      </c>
      <c r="N7" s="192" t="s">
        <v>66</v>
      </c>
      <c r="O7" s="192" t="s">
        <v>66</v>
      </c>
      <c r="P7" s="192" t="s">
        <v>66</v>
      </c>
      <c r="Q7" s="192" t="s">
        <v>66</v>
      </c>
      <c r="R7" s="193" t="s">
        <v>66</v>
      </c>
      <c r="S7" s="194">
        <f t="shared" ref="S7:S10" si="0">E7</f>
        <v>5.3564773068769868E-2</v>
      </c>
      <c r="T7" s="195" t="s">
        <v>112</v>
      </c>
      <c r="U7" s="225" t="s">
        <v>8</v>
      </c>
      <c r="V7" s="192" t="s">
        <v>9</v>
      </c>
      <c r="W7" s="3"/>
      <c r="X7" s="3"/>
      <c r="Y7" s="3"/>
    </row>
    <row r="8" spans="1:25" ht="13" x14ac:dyDescent="0.3">
      <c r="A8" s="3"/>
      <c r="B8" s="5" t="s">
        <v>68</v>
      </c>
      <c r="C8" s="210" t="s">
        <v>108</v>
      </c>
      <c r="D8" s="177">
        <f>Summary!G18/CapEx_EN!R1</f>
        <v>6.3788108000000001</v>
      </c>
      <c r="E8" s="177">
        <f>D8/$D$26*100</f>
        <v>0.17759586043852557</v>
      </c>
      <c r="F8" s="190">
        <v>100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2"/>
      <c r="M8" s="192" t="s">
        <v>66</v>
      </c>
      <c r="N8" s="192" t="s">
        <v>66</v>
      </c>
      <c r="O8" s="192" t="s">
        <v>66</v>
      </c>
      <c r="P8" s="192" t="s">
        <v>66</v>
      </c>
      <c r="Q8" s="192" t="s">
        <v>66</v>
      </c>
      <c r="R8" s="193" t="s">
        <v>66</v>
      </c>
      <c r="S8" s="194">
        <f t="shared" si="0"/>
        <v>0.17759586043852557</v>
      </c>
      <c r="T8" s="195" t="s">
        <v>112</v>
      </c>
      <c r="U8" s="225" t="s">
        <v>8</v>
      </c>
      <c r="V8" s="192" t="s">
        <v>9</v>
      </c>
      <c r="W8" s="3"/>
      <c r="X8" s="3"/>
      <c r="Y8" s="3"/>
    </row>
    <row r="9" spans="1:25" ht="26" x14ac:dyDescent="0.3">
      <c r="A9" s="3"/>
      <c r="B9" s="5" t="s">
        <v>69</v>
      </c>
      <c r="C9" s="210" t="s">
        <v>109</v>
      </c>
      <c r="D9" s="177">
        <f>Summary!G22/CapEx_EN!R1</f>
        <v>6.3849960996600021</v>
      </c>
      <c r="E9" s="177">
        <f>D9/$D$26*100</f>
        <v>0.17776806865250616</v>
      </c>
      <c r="F9" s="190">
        <v>100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2"/>
      <c r="M9" s="192" t="s">
        <v>66</v>
      </c>
      <c r="N9" s="192" t="s">
        <v>66</v>
      </c>
      <c r="O9" s="192" t="s">
        <v>66</v>
      </c>
      <c r="P9" s="192" t="s">
        <v>66</v>
      </c>
      <c r="Q9" s="192" t="s">
        <v>66</v>
      </c>
      <c r="R9" s="193" t="s">
        <v>66</v>
      </c>
      <c r="S9" s="194">
        <f t="shared" si="0"/>
        <v>0.17776806865250616</v>
      </c>
      <c r="T9" s="195" t="s">
        <v>112</v>
      </c>
      <c r="U9" s="225" t="s">
        <v>8</v>
      </c>
      <c r="V9" s="192" t="s">
        <v>9</v>
      </c>
      <c r="W9" s="3"/>
      <c r="X9" s="3"/>
      <c r="Y9" s="3"/>
    </row>
    <row r="10" spans="1:25" s="64" customFormat="1" ht="26.5" thickBot="1" x14ac:dyDescent="0.35">
      <c r="A10" s="29"/>
      <c r="B10" s="9" t="s">
        <v>70</v>
      </c>
      <c r="C10" s="211"/>
      <c r="D10" s="178">
        <f>SUM(D7:D9)</f>
        <v>14.687723099660003</v>
      </c>
      <c r="E10" s="178">
        <f>D10/$D$26*100</f>
        <v>0.40892870215980165</v>
      </c>
      <c r="F10" s="196">
        <v>100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8"/>
      <c r="M10" s="198"/>
      <c r="N10" s="198"/>
      <c r="O10" s="198"/>
      <c r="P10" s="198"/>
      <c r="Q10" s="198"/>
      <c r="R10" s="199"/>
      <c r="S10" s="200">
        <f t="shared" si="0"/>
        <v>0.40892870215980165</v>
      </c>
      <c r="T10" s="195" t="s">
        <v>112</v>
      </c>
      <c r="U10" s="198"/>
      <c r="V10" s="198"/>
      <c r="W10" s="29"/>
      <c r="X10" s="29"/>
      <c r="Y10" s="29"/>
    </row>
    <row r="11" spans="1:25" ht="38.25" customHeight="1" thickTop="1" x14ac:dyDescent="0.3">
      <c r="A11" s="3"/>
      <c r="B11" s="9" t="s">
        <v>42</v>
      </c>
      <c r="C11" s="201"/>
      <c r="D11" s="177"/>
      <c r="E11" s="177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8"/>
      <c r="T11" s="46"/>
      <c r="U11" s="46"/>
      <c r="V11" s="46"/>
      <c r="W11" s="3"/>
      <c r="X11" s="3"/>
      <c r="Y11" s="3"/>
    </row>
    <row r="12" spans="1:25" s="176" customFormat="1" ht="13" x14ac:dyDescent="0.3">
      <c r="A12" s="175"/>
      <c r="B12" s="5" t="s">
        <v>43</v>
      </c>
      <c r="C12" s="201" t="s">
        <v>91</v>
      </c>
      <c r="D12" s="177">
        <f>Summary!G6/R1</f>
        <v>107.428696608</v>
      </c>
      <c r="E12" s="177">
        <f>D12/$D$26*100</f>
        <v>2.9909794173370168</v>
      </c>
      <c r="F12" s="54"/>
      <c r="G12" s="55"/>
      <c r="H12" s="47"/>
      <c r="I12" s="47"/>
      <c r="J12" s="47"/>
      <c r="K12" s="47"/>
      <c r="L12" s="48"/>
      <c r="M12" s="48"/>
      <c r="N12" s="48"/>
      <c r="O12" s="48"/>
      <c r="P12" s="48"/>
      <c r="Q12" s="48"/>
      <c r="R12" s="48"/>
      <c r="S12" s="47"/>
      <c r="T12" s="48"/>
      <c r="U12" s="48"/>
      <c r="V12" s="48"/>
      <c r="W12" s="175"/>
      <c r="X12" s="175"/>
      <c r="Y12" s="175"/>
    </row>
    <row r="13" spans="1:25" s="176" customFormat="1" ht="26" x14ac:dyDescent="0.3">
      <c r="A13" s="175"/>
      <c r="B13" s="5" t="s">
        <v>67</v>
      </c>
      <c r="C13" s="210" t="s">
        <v>93</v>
      </c>
      <c r="D13" s="177">
        <f>Summary!G8/1000</f>
        <v>1.0454700000000001</v>
      </c>
      <c r="E13" s="177">
        <f>D13/$D$26*100</f>
        <v>2.9107485710763725E-2</v>
      </c>
      <c r="F13" s="54"/>
      <c r="G13" s="55"/>
      <c r="H13" s="47"/>
      <c r="I13" s="47"/>
      <c r="J13" s="47"/>
      <c r="K13" s="47"/>
      <c r="L13" s="48"/>
      <c r="M13" s="48"/>
      <c r="N13" s="48"/>
      <c r="O13" s="48"/>
      <c r="P13" s="48"/>
      <c r="Q13" s="48"/>
      <c r="R13" s="48"/>
      <c r="S13" s="47"/>
      <c r="T13" s="48"/>
      <c r="U13" s="48"/>
      <c r="V13" s="48"/>
      <c r="W13" s="175"/>
      <c r="X13" s="175"/>
      <c r="Y13" s="175"/>
    </row>
    <row r="14" spans="1:25" s="176" customFormat="1" ht="13" x14ac:dyDescent="0.3">
      <c r="A14" s="175"/>
      <c r="B14" s="5" t="s">
        <v>44</v>
      </c>
      <c r="C14" s="201" t="s">
        <v>94</v>
      </c>
      <c r="D14" s="177">
        <f>Summary!G12/R1</f>
        <v>4.9362085600000007</v>
      </c>
      <c r="E14" s="177">
        <f t="shared" ref="E14:E21" si="1">D14/$D$26*100</f>
        <v>0.13743160504419025</v>
      </c>
      <c r="F14" s="54"/>
      <c r="G14" s="55"/>
      <c r="H14" s="47"/>
      <c r="I14" s="47"/>
      <c r="J14" s="47"/>
      <c r="K14" s="47"/>
      <c r="L14" s="48"/>
      <c r="M14" s="48"/>
      <c r="N14" s="48"/>
      <c r="O14" s="48"/>
      <c r="P14" s="48"/>
      <c r="Q14" s="48"/>
      <c r="R14" s="48"/>
      <c r="S14" s="47"/>
      <c r="T14" s="48"/>
      <c r="U14" s="48"/>
      <c r="V14" s="48"/>
      <c r="W14" s="175"/>
      <c r="X14" s="175"/>
      <c r="Y14" s="175"/>
    </row>
    <row r="15" spans="1:25" s="176" customFormat="1" ht="13" x14ac:dyDescent="0.3">
      <c r="A15" s="175"/>
      <c r="B15" s="5" t="s">
        <v>45</v>
      </c>
      <c r="C15" s="201" t="s">
        <v>110</v>
      </c>
      <c r="D15" s="177">
        <f>Summary!G9/R1</f>
        <v>25.468127370000001</v>
      </c>
      <c r="E15" s="177">
        <f t="shared" si="1"/>
        <v>0.70907166489921802</v>
      </c>
      <c r="F15" s="54"/>
      <c r="G15" s="55"/>
      <c r="H15" s="47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7"/>
      <c r="T15" s="48"/>
      <c r="U15" s="48"/>
      <c r="V15" s="48"/>
      <c r="W15" s="175"/>
      <c r="X15" s="175"/>
      <c r="Y15" s="175"/>
    </row>
    <row r="16" spans="1:25" s="176" customFormat="1" ht="13" x14ac:dyDescent="0.3">
      <c r="A16" s="175"/>
      <c r="B16" s="5" t="s">
        <v>46</v>
      </c>
      <c r="C16" s="201" t="s">
        <v>106</v>
      </c>
      <c r="D16" s="177">
        <f>Summary!G10/R1</f>
        <v>190.15613516000002</v>
      </c>
      <c r="E16" s="177">
        <f t="shared" si="1"/>
        <v>5.29423798577076</v>
      </c>
      <c r="F16" s="54"/>
      <c r="G16" s="55"/>
      <c r="H16" s="47"/>
      <c r="I16" s="47"/>
      <c r="J16" s="47"/>
      <c r="K16" s="47"/>
      <c r="L16" s="48"/>
      <c r="M16" s="48"/>
      <c r="N16" s="48"/>
      <c r="O16" s="48"/>
      <c r="P16" s="48"/>
      <c r="Q16" s="48"/>
      <c r="R16" s="48"/>
      <c r="S16" s="47"/>
      <c r="T16" s="48"/>
      <c r="U16" s="48"/>
      <c r="V16" s="48"/>
      <c r="W16" s="175"/>
      <c r="X16" s="175"/>
      <c r="Y16" s="175"/>
    </row>
    <row r="17" spans="1:25" s="176" customFormat="1" ht="26" x14ac:dyDescent="0.3">
      <c r="A17" s="175"/>
      <c r="B17" s="5" t="s">
        <v>97</v>
      </c>
      <c r="C17" s="201" t="s">
        <v>107</v>
      </c>
      <c r="D17" s="177">
        <f>Summary!G11/R1</f>
        <v>6.55517737</v>
      </c>
      <c r="E17" s="177">
        <f t="shared" si="1"/>
        <v>0.18250617581451092</v>
      </c>
      <c r="F17" s="54"/>
      <c r="G17" s="55"/>
      <c r="H17" s="47"/>
      <c r="I17" s="47"/>
      <c r="J17" s="47"/>
      <c r="K17" s="47"/>
      <c r="L17" s="48"/>
      <c r="M17" s="48"/>
      <c r="N17" s="48"/>
      <c r="O17" s="48"/>
      <c r="P17" s="48"/>
      <c r="Q17" s="48"/>
      <c r="R17" s="48"/>
      <c r="S17" s="47"/>
      <c r="T17" s="48"/>
      <c r="U17" s="48"/>
      <c r="V17" s="48"/>
      <c r="W17" s="175"/>
      <c r="X17" s="175"/>
      <c r="Y17" s="175"/>
    </row>
    <row r="18" spans="1:25" s="176" customFormat="1" ht="26" x14ac:dyDescent="0.3">
      <c r="A18" s="175"/>
      <c r="B18" s="5" t="s">
        <v>72</v>
      </c>
      <c r="C18" s="201" t="s">
        <v>54</v>
      </c>
      <c r="D18" s="177">
        <f>Summary!G15/R1</f>
        <v>17.812390730000001</v>
      </c>
      <c r="E18" s="177">
        <f t="shared" si="1"/>
        <v>0.49592423373986361</v>
      </c>
      <c r="F18" s="54"/>
      <c r="G18" s="55"/>
      <c r="H18" s="47"/>
      <c r="I18" s="47"/>
      <c r="J18" s="47"/>
      <c r="K18" s="47"/>
      <c r="L18" s="48"/>
      <c r="M18" s="48"/>
      <c r="N18" s="48"/>
      <c r="O18" s="48"/>
      <c r="P18" s="48"/>
      <c r="Q18" s="48"/>
      <c r="R18" s="48"/>
      <c r="S18" s="47"/>
      <c r="T18" s="48"/>
      <c r="U18" s="48"/>
      <c r="V18" s="48"/>
      <c r="W18" s="175"/>
      <c r="X18" s="175"/>
      <c r="Y18" s="175"/>
    </row>
    <row r="19" spans="1:25" s="176" customFormat="1" ht="26" x14ac:dyDescent="0.3">
      <c r="A19" s="175"/>
      <c r="B19" s="5" t="s">
        <v>98</v>
      </c>
      <c r="C19" s="201" t="s">
        <v>111</v>
      </c>
      <c r="D19" s="177">
        <f>Summary!G13/R1</f>
        <v>17.448429860000001</v>
      </c>
      <c r="E19" s="177">
        <f t="shared" si="1"/>
        <v>0.48579100579185736</v>
      </c>
      <c r="F19" s="54"/>
      <c r="G19" s="55"/>
      <c r="H19" s="47"/>
      <c r="I19" s="47"/>
      <c r="J19" s="47"/>
      <c r="K19" s="47"/>
      <c r="L19" s="48"/>
      <c r="M19" s="48"/>
      <c r="N19" s="48"/>
      <c r="O19" s="48"/>
      <c r="P19" s="48"/>
      <c r="Q19" s="48"/>
      <c r="R19" s="48"/>
      <c r="S19" s="47"/>
      <c r="T19" s="48"/>
      <c r="U19" s="48"/>
      <c r="V19" s="48"/>
      <c r="W19" s="175"/>
      <c r="X19" s="175"/>
      <c r="Y19" s="175"/>
    </row>
    <row r="20" spans="1:25" s="176" customFormat="1" ht="13" x14ac:dyDescent="0.3">
      <c r="A20" s="175"/>
      <c r="B20" s="5" t="s">
        <v>74</v>
      </c>
      <c r="C20" s="201" t="s">
        <v>56</v>
      </c>
      <c r="D20" s="177">
        <f>Summary!G17/R1</f>
        <v>46.171673509999998</v>
      </c>
      <c r="E20" s="177">
        <f t="shared" si="1"/>
        <v>1.285490092431512</v>
      </c>
      <c r="F20" s="54"/>
      <c r="G20" s="55"/>
      <c r="H20" s="47"/>
      <c r="I20" s="47"/>
      <c r="J20" s="47"/>
      <c r="K20" s="47"/>
      <c r="L20" s="48"/>
      <c r="M20" s="48"/>
      <c r="N20" s="48"/>
      <c r="O20" s="48"/>
      <c r="P20" s="48"/>
      <c r="Q20" s="48"/>
      <c r="R20" s="48"/>
      <c r="S20" s="47"/>
      <c r="T20" s="48"/>
      <c r="U20" s="48"/>
      <c r="V20" s="48"/>
      <c r="W20" s="175"/>
      <c r="X20" s="175"/>
      <c r="Y20" s="175"/>
    </row>
    <row r="21" spans="1:25" s="176" customFormat="1" ht="26" x14ac:dyDescent="0.3">
      <c r="A21" s="175"/>
      <c r="B21" s="5" t="s">
        <v>95</v>
      </c>
      <c r="C21" s="201" t="s">
        <v>96</v>
      </c>
      <c r="D21" s="177">
        <f>Summary!G21/R1</f>
        <v>16.39508375383534</v>
      </c>
      <c r="E21" s="177">
        <f t="shared" si="1"/>
        <v>0.45646423722491958</v>
      </c>
      <c r="F21" s="54"/>
      <c r="G21" s="55"/>
      <c r="H21" s="47"/>
      <c r="I21" s="47"/>
      <c r="J21" s="47"/>
      <c r="K21" s="47"/>
      <c r="L21" s="48"/>
      <c r="M21" s="48"/>
      <c r="N21" s="48"/>
      <c r="O21" s="48"/>
      <c r="P21" s="48"/>
      <c r="Q21" s="48"/>
      <c r="R21" s="48"/>
      <c r="S21" s="47"/>
      <c r="T21" s="48"/>
      <c r="U21" s="48"/>
      <c r="V21" s="48"/>
      <c r="W21" s="175"/>
      <c r="X21" s="175"/>
      <c r="Y21" s="175"/>
    </row>
    <row r="22" spans="1:25" ht="39" x14ac:dyDescent="0.3">
      <c r="A22" s="3"/>
      <c r="B22" s="9" t="s">
        <v>79</v>
      </c>
      <c r="C22" s="205"/>
      <c r="D22" s="178">
        <f>SUM(D12:D21)</f>
        <v>433.41739292183536</v>
      </c>
      <c r="E22" s="178">
        <f>D22/$D$26*100</f>
        <v>12.067003903764611</v>
      </c>
      <c r="F22" s="56"/>
      <c r="G22" s="5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"/>
      <c r="X22" s="3"/>
      <c r="Y22" s="3"/>
    </row>
    <row r="23" spans="1:25" ht="13" x14ac:dyDescent="0.3">
      <c r="A23" s="3"/>
      <c r="B23" s="9" t="s">
        <v>48</v>
      </c>
      <c r="C23" s="201"/>
      <c r="D23" s="178">
        <f>D10+D22</f>
        <v>448.10511602149535</v>
      </c>
      <c r="E23" s="178">
        <f>D23/$D$26*100</f>
        <v>12.475932605924413</v>
      </c>
      <c r="F23" s="56"/>
      <c r="G23" s="57"/>
      <c r="H23" s="49"/>
      <c r="I23" s="52"/>
      <c r="J23" s="52"/>
      <c r="K23" s="5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"/>
      <c r="X23" s="3"/>
      <c r="Y23" s="3"/>
    </row>
    <row r="24" spans="1:25" ht="13" x14ac:dyDescent="0.3">
      <c r="A24" s="3"/>
      <c r="B24" s="9" t="s">
        <v>49</v>
      </c>
      <c r="C24" s="206"/>
      <c r="D24" s="179"/>
      <c r="E24" s="179"/>
      <c r="F24" s="58"/>
      <c r="G24" s="5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"/>
      <c r="X24" s="3"/>
      <c r="Y24" s="3"/>
    </row>
    <row r="25" spans="1:25" ht="13" x14ac:dyDescent="0.3">
      <c r="A25" s="3"/>
      <c r="B25" s="5" t="s">
        <v>80</v>
      </c>
      <c r="C25" s="201"/>
      <c r="D25" s="177">
        <f>Summary!G27/R1</f>
        <v>3143.6513496130246</v>
      </c>
      <c r="E25" s="177">
        <f>D25/$D$26*100</f>
        <v>87.524067394075587</v>
      </c>
      <c r="F25" s="60"/>
      <c r="G25" s="6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3"/>
    </row>
    <row r="26" spans="1:25" ht="13" x14ac:dyDescent="0.3">
      <c r="A26" s="3"/>
      <c r="B26" s="9" t="s">
        <v>51</v>
      </c>
      <c r="C26" s="205"/>
      <c r="D26" s="178">
        <f>D25+D23</f>
        <v>3591.7564656345198</v>
      </c>
      <c r="E26" s="178">
        <f>D26/$D$26*100</f>
        <v>100</v>
      </c>
      <c r="F26" s="60"/>
      <c r="G26" s="6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3"/>
    </row>
    <row r="27" spans="1:25" s="1" customFormat="1" x14ac:dyDescent="0.25">
      <c r="C27" s="212"/>
    </row>
    <row r="28" spans="1:25" s="1" customFormat="1" x14ac:dyDescent="0.25">
      <c r="C28" s="212"/>
    </row>
    <row r="29" spans="1:25" s="170" customFormat="1" ht="11.5" x14ac:dyDescent="0.25">
      <c r="B29" s="171"/>
      <c r="C29" s="213"/>
      <c r="D29" s="172"/>
      <c r="E29" s="173"/>
    </row>
    <row r="30" spans="1:25" s="170" customFormat="1" ht="11.5" x14ac:dyDescent="0.25">
      <c r="B30" s="171"/>
      <c r="C30" s="213"/>
      <c r="D30" s="172"/>
    </row>
    <row r="31" spans="1:25" s="170" customFormat="1" ht="11.5" x14ac:dyDescent="0.25">
      <c r="B31" s="171"/>
      <c r="C31" s="213"/>
      <c r="D31" s="172"/>
    </row>
    <row r="32" spans="1:25" s="170" customFormat="1" ht="11.5" x14ac:dyDescent="0.25">
      <c r="C32" s="213"/>
    </row>
    <row r="33" spans="3:3" s="1" customFormat="1" x14ac:dyDescent="0.25">
      <c r="C33" s="212"/>
    </row>
    <row r="34" spans="3:3" s="1" customFormat="1" x14ac:dyDescent="0.25">
      <c r="C34" s="212"/>
    </row>
    <row r="35" spans="3:3" s="1" customFormat="1" x14ac:dyDescent="0.25">
      <c r="C35" s="212"/>
    </row>
    <row r="36" spans="3:3" s="1" customFormat="1" x14ac:dyDescent="0.25">
      <c r="C36" s="212"/>
    </row>
  </sheetData>
  <mergeCells count="2">
    <mergeCell ref="F2:K2"/>
    <mergeCell ref="L2:Q2"/>
  </mergeCells>
  <pageMargins left="0.7" right="0.7" top="0.78740157499999996" bottom="0.78740157499999996" header="0.3" footer="0.3"/>
  <pageSetup paperSize="9" orientation="portrait" horizontalDpi="300" verticalDpi="300" r:id="rId1"/>
  <headerFooter>
    <oddFooter>&amp;C&amp;1#&amp;"Calibri"&amp;10&amp;K000000Internal</oddFooter>
  </headerFooter>
  <ignoredErrors>
    <ignoredError sqref="C7:C12 C19 C20:C26 C15:C17 C14 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B5DE-BCD4-4A35-9F4B-F11EC5B22E6D}">
  <sheetPr>
    <tabColor rgb="FF00B050"/>
  </sheetPr>
  <dimension ref="A1:Y32"/>
  <sheetViews>
    <sheetView zoomScale="85" zoomScaleNormal="85" workbookViewId="0">
      <selection activeCell="M17" sqref="M17"/>
    </sheetView>
  </sheetViews>
  <sheetFormatPr defaultColWidth="10.81640625" defaultRowHeight="12.5" outlineLevelCol="1" x14ac:dyDescent="0.25"/>
  <cols>
    <col min="1" max="1" width="1.26953125" customWidth="1"/>
    <col min="2" max="2" width="40" style="1" customWidth="1"/>
    <col min="3" max="3" width="6.26953125" customWidth="1"/>
    <col min="4" max="4" width="8.81640625" customWidth="1"/>
    <col min="5" max="5" width="9.54296875" customWidth="1"/>
    <col min="6" max="7" width="7.1796875" customWidth="1"/>
    <col min="8" max="11" width="7.1796875" customWidth="1" outlineLevel="1"/>
    <col min="12" max="18" width="7.1796875" customWidth="1"/>
    <col min="20" max="20" width="11.453125" outlineLevel="1"/>
    <col min="23" max="23" width="2" customWidth="1"/>
  </cols>
  <sheetData>
    <row r="1" spans="1:25" ht="7.5" customHeight="1" x14ac:dyDescent="0.2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1000</v>
      </c>
      <c r="S1" s="3"/>
      <c r="T1" s="3"/>
      <c r="U1" s="3"/>
      <c r="V1" s="3"/>
      <c r="W1" s="3"/>
      <c r="X1" s="3"/>
      <c r="Y1" s="3"/>
    </row>
    <row r="2" spans="1:25" ht="42.75" customHeight="1" thickBot="1" x14ac:dyDescent="0.35">
      <c r="A2" s="3"/>
      <c r="B2" s="5"/>
      <c r="C2" s="6"/>
      <c r="D2" s="6"/>
      <c r="E2" s="6"/>
      <c r="F2" s="226" t="s">
        <v>14</v>
      </c>
      <c r="G2" s="226"/>
      <c r="H2" s="226"/>
      <c r="I2" s="226"/>
      <c r="J2" s="226"/>
      <c r="K2" s="226"/>
      <c r="L2" s="227" t="s">
        <v>15</v>
      </c>
      <c r="M2" s="227"/>
      <c r="N2" s="227"/>
      <c r="O2" s="227"/>
      <c r="P2" s="227"/>
      <c r="Q2" s="227"/>
      <c r="R2" s="15"/>
      <c r="S2" s="4"/>
      <c r="T2" s="16"/>
      <c r="U2" s="16"/>
      <c r="V2" s="16"/>
      <c r="W2" s="3"/>
      <c r="X2" s="3"/>
      <c r="Y2" s="3"/>
    </row>
    <row r="3" spans="1:25" s="1" customFormat="1" ht="119.15" customHeight="1" thickTop="1" x14ac:dyDescent="0.3">
      <c r="A3" s="2"/>
      <c r="B3" s="5" t="s">
        <v>16</v>
      </c>
      <c r="C3" s="7" t="s">
        <v>6</v>
      </c>
      <c r="D3" s="7" t="s">
        <v>81</v>
      </c>
      <c r="E3" s="7" t="s">
        <v>82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  <c r="R3" s="17" t="s">
        <v>31</v>
      </c>
      <c r="S3" s="25" t="s">
        <v>83</v>
      </c>
      <c r="T3" s="21" t="s">
        <v>84</v>
      </c>
      <c r="U3" s="8" t="s">
        <v>34</v>
      </c>
      <c r="V3" s="8" t="s">
        <v>35</v>
      </c>
      <c r="W3" s="2"/>
      <c r="X3" s="2"/>
      <c r="Y3" s="2"/>
    </row>
    <row r="4" spans="1:25" ht="13" x14ac:dyDescent="0.3">
      <c r="A4" s="3"/>
      <c r="B4" s="8"/>
      <c r="C4" s="30"/>
      <c r="D4" s="30" t="s">
        <v>100</v>
      </c>
      <c r="E4" s="30" t="s">
        <v>7</v>
      </c>
      <c r="F4" s="30" t="s">
        <v>7</v>
      </c>
      <c r="G4" s="30" t="s">
        <v>7</v>
      </c>
      <c r="H4" s="30" t="s">
        <v>7</v>
      </c>
      <c r="I4" s="30" t="s">
        <v>7</v>
      </c>
      <c r="J4" s="30" t="s">
        <v>7</v>
      </c>
      <c r="K4" s="30" t="s">
        <v>7</v>
      </c>
      <c r="L4" s="30" t="s">
        <v>37</v>
      </c>
      <c r="M4" s="30" t="s">
        <v>37</v>
      </c>
      <c r="N4" s="30" t="s">
        <v>37</v>
      </c>
      <c r="O4" s="30" t="s">
        <v>37</v>
      </c>
      <c r="P4" s="30" t="s">
        <v>37</v>
      </c>
      <c r="Q4" s="30" t="s">
        <v>37</v>
      </c>
      <c r="R4" s="18" t="s">
        <v>37</v>
      </c>
      <c r="S4" s="26" t="s">
        <v>7</v>
      </c>
      <c r="T4" s="22" t="s">
        <v>7</v>
      </c>
      <c r="U4" s="30" t="s">
        <v>8</v>
      </c>
      <c r="V4" s="30" t="s">
        <v>9</v>
      </c>
      <c r="W4" s="3"/>
      <c r="X4" s="3"/>
      <c r="Y4" s="3"/>
    </row>
    <row r="5" spans="1:25" ht="13" x14ac:dyDescent="0.3">
      <c r="A5" s="3"/>
      <c r="B5" s="9" t="s">
        <v>38</v>
      </c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7"/>
      <c r="T5" s="14"/>
      <c r="U5" s="14"/>
      <c r="V5" s="13"/>
      <c r="W5" s="3"/>
      <c r="X5" s="3"/>
      <c r="Y5" s="3"/>
    </row>
    <row r="6" spans="1:25" ht="26" x14ac:dyDescent="0.3">
      <c r="A6" s="3"/>
      <c r="B6" s="9" t="s">
        <v>39</v>
      </c>
      <c r="C6" s="45">
        <f t="shared" ref="C6:F6" si="0">SUM(C5:C5)</f>
        <v>0</v>
      </c>
      <c r="D6" s="45">
        <f t="shared" si="0"/>
        <v>0</v>
      </c>
      <c r="E6" s="45">
        <f t="shared" si="0"/>
        <v>0</v>
      </c>
      <c r="F6" s="45">
        <f t="shared" si="0"/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9"/>
      <c r="S6" s="28"/>
      <c r="T6" s="23"/>
      <c r="U6" s="6"/>
      <c r="V6" s="6"/>
      <c r="W6" s="3"/>
      <c r="X6" s="3"/>
      <c r="Y6" s="3"/>
    </row>
    <row r="7" spans="1:25" ht="13" x14ac:dyDescent="0.3">
      <c r="A7" s="3"/>
      <c r="B7" s="219" t="s">
        <v>40</v>
      </c>
      <c r="C7" s="43"/>
      <c r="D7" s="44"/>
      <c r="E7" s="50"/>
      <c r="F7" s="44"/>
      <c r="G7" s="44"/>
      <c r="H7" s="44"/>
      <c r="I7" s="44"/>
      <c r="J7" s="44"/>
      <c r="K7" s="44"/>
      <c r="L7" s="30"/>
      <c r="M7" s="30"/>
      <c r="N7" s="30"/>
      <c r="O7" s="30"/>
      <c r="P7" s="30"/>
      <c r="Q7" s="30"/>
      <c r="R7" s="18"/>
      <c r="S7" s="65"/>
      <c r="T7" s="22"/>
      <c r="U7" s="30"/>
      <c r="V7" s="30"/>
      <c r="W7" s="3"/>
      <c r="X7" s="3"/>
      <c r="Y7" s="3"/>
    </row>
    <row r="8" spans="1:25" ht="26.5" thickBot="1" x14ac:dyDescent="0.35">
      <c r="A8" s="3"/>
      <c r="B8" s="9" t="s">
        <v>85</v>
      </c>
      <c r="C8" s="10"/>
      <c r="D8" s="45">
        <f>SUM(D7:D7)</f>
        <v>0</v>
      </c>
      <c r="E8" s="51">
        <f>D8/$D$21*100</f>
        <v>0</v>
      </c>
      <c r="F8" s="45"/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11"/>
      <c r="M8" s="11"/>
      <c r="N8" s="11"/>
      <c r="O8" s="11"/>
      <c r="P8" s="11"/>
      <c r="Q8" s="11"/>
      <c r="R8" s="20"/>
      <c r="S8" s="66">
        <f t="shared" ref="S8" si="1">E8</f>
        <v>0</v>
      </c>
      <c r="T8" s="24"/>
      <c r="U8" s="11"/>
      <c r="V8" s="11"/>
      <c r="W8" s="3"/>
      <c r="X8" s="3"/>
      <c r="Y8" s="3"/>
    </row>
    <row r="9" spans="1:25" ht="38.25" customHeight="1" thickTop="1" x14ac:dyDescent="0.3">
      <c r="A9" s="3"/>
      <c r="B9" s="9" t="s">
        <v>42</v>
      </c>
      <c r="C9" s="215"/>
      <c r="D9" s="180"/>
      <c r="E9" s="180"/>
      <c r="F9" s="53"/>
      <c r="G9" s="53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8"/>
      <c r="T9" s="46"/>
      <c r="U9" s="46"/>
      <c r="V9" s="46"/>
      <c r="W9" s="3"/>
      <c r="X9" s="3"/>
      <c r="Y9" s="3"/>
    </row>
    <row r="10" spans="1:25" ht="13" x14ac:dyDescent="0.3">
      <c r="A10" s="3"/>
      <c r="B10" s="5" t="s">
        <v>65</v>
      </c>
      <c r="C10" s="210" t="s">
        <v>52</v>
      </c>
      <c r="D10" s="216">
        <f>Summary!N5/R1</f>
        <v>0.16541700000000001</v>
      </c>
      <c r="E10" s="216">
        <f>D10/$D$21*100</f>
        <v>1.9586187652491933E-2</v>
      </c>
      <c r="F10" s="54"/>
      <c r="G10" s="55"/>
      <c r="H10" s="47"/>
      <c r="I10" s="47"/>
      <c r="J10" s="47"/>
      <c r="K10" s="47"/>
      <c r="L10" s="48"/>
      <c r="M10" s="48"/>
      <c r="N10" s="48"/>
      <c r="O10" s="48"/>
      <c r="P10" s="48"/>
      <c r="Q10" s="48"/>
      <c r="R10" s="48"/>
      <c r="S10" s="47"/>
      <c r="T10" s="48"/>
      <c r="U10" s="48"/>
      <c r="V10" s="48"/>
      <c r="W10" s="3"/>
      <c r="X10" s="3"/>
      <c r="Y10" s="3"/>
    </row>
    <row r="11" spans="1:25" ht="13" x14ac:dyDescent="0.3">
      <c r="A11" s="3"/>
      <c r="B11" s="5" t="s">
        <v>43</v>
      </c>
      <c r="C11" s="210" t="s">
        <v>11</v>
      </c>
      <c r="D11" s="216">
        <f>Summary!N6/R1</f>
        <v>12.937806248000019</v>
      </c>
      <c r="E11" s="216">
        <f t="shared" ref="E11:E16" si="2">D11/$D$21*100</f>
        <v>1.5318999920498555</v>
      </c>
      <c r="G11" s="55"/>
      <c r="H11" s="47"/>
      <c r="I11" s="47"/>
      <c r="J11" s="47"/>
      <c r="K11" s="47"/>
      <c r="L11" s="48"/>
      <c r="M11" s="48"/>
      <c r="N11" s="48"/>
      <c r="O11" s="48"/>
      <c r="P11" s="48"/>
      <c r="Q11" s="48"/>
      <c r="R11" s="48"/>
      <c r="S11" s="47"/>
      <c r="T11" s="48"/>
      <c r="U11" s="48"/>
      <c r="V11" s="48"/>
      <c r="W11" s="3"/>
      <c r="X11" s="3"/>
      <c r="Y11" s="3"/>
    </row>
    <row r="12" spans="1:25" ht="13" x14ac:dyDescent="0.3">
      <c r="A12" s="3"/>
      <c r="B12" s="5" t="s">
        <v>44</v>
      </c>
      <c r="C12" s="210" t="s">
        <v>12</v>
      </c>
      <c r="D12" s="216">
        <f>Summary!N12/R1</f>
        <v>12.397221050000001</v>
      </c>
      <c r="E12" s="216">
        <f t="shared" si="2"/>
        <v>1.4678920416566803</v>
      </c>
      <c r="F12" s="54"/>
      <c r="G12" s="55"/>
      <c r="H12" s="47"/>
      <c r="I12" s="47"/>
      <c r="J12" s="47"/>
      <c r="K12" s="47"/>
      <c r="L12" s="48"/>
      <c r="M12" s="48"/>
      <c r="N12" s="48"/>
      <c r="O12" s="48"/>
      <c r="P12" s="48"/>
      <c r="Q12" s="48"/>
      <c r="R12" s="48"/>
      <c r="S12" s="47"/>
      <c r="T12" s="48"/>
      <c r="U12" s="48"/>
      <c r="V12" s="48"/>
      <c r="W12" s="3"/>
      <c r="X12" s="3"/>
      <c r="Y12" s="3"/>
    </row>
    <row r="13" spans="1:25" ht="13" x14ac:dyDescent="0.3">
      <c r="A13" s="3"/>
      <c r="B13" s="5" t="s">
        <v>45</v>
      </c>
      <c r="C13" s="210" t="s">
        <v>10</v>
      </c>
      <c r="D13" s="216">
        <f>Summary!N9/R1</f>
        <v>0.94917799999999997</v>
      </c>
      <c r="E13" s="216">
        <f t="shared" si="2"/>
        <v>0.11238735089874068</v>
      </c>
      <c r="F13" s="54"/>
      <c r="G13" s="55"/>
      <c r="H13" s="47"/>
      <c r="I13" s="47"/>
      <c r="J13" s="47"/>
      <c r="K13" s="47"/>
      <c r="L13" s="48"/>
      <c r="M13" s="48"/>
      <c r="N13" s="48"/>
      <c r="O13" s="48"/>
      <c r="P13" s="48"/>
      <c r="Q13" s="48"/>
      <c r="R13" s="48"/>
      <c r="S13" s="47"/>
      <c r="T13" s="48"/>
      <c r="U13" s="48"/>
      <c r="V13" s="48"/>
      <c r="W13" s="3"/>
      <c r="X13" s="3"/>
      <c r="Y13" s="3"/>
    </row>
    <row r="14" spans="1:25" ht="13" x14ac:dyDescent="0.3">
      <c r="A14" s="3"/>
      <c r="B14" s="5" t="s">
        <v>46</v>
      </c>
      <c r="C14" s="210" t="s">
        <v>13</v>
      </c>
      <c r="D14" s="216">
        <f>Summary!N10/R1</f>
        <v>86.44625597000001</v>
      </c>
      <c r="E14" s="216">
        <f t="shared" si="2"/>
        <v>10.23566254546855</v>
      </c>
      <c r="F14" s="54"/>
      <c r="G14" s="55"/>
      <c r="H14" s="47"/>
      <c r="I14" s="47"/>
      <c r="J14" s="47"/>
      <c r="K14" s="47"/>
      <c r="L14" s="48"/>
      <c r="M14" s="48"/>
      <c r="N14" s="48"/>
      <c r="O14" s="48"/>
      <c r="P14" s="48"/>
      <c r="Q14" s="48"/>
      <c r="R14" s="48"/>
      <c r="S14" s="47"/>
      <c r="T14" s="48"/>
      <c r="U14" s="48"/>
      <c r="V14" s="48"/>
      <c r="W14" s="3"/>
      <c r="X14" s="3"/>
      <c r="Y14" s="3"/>
    </row>
    <row r="15" spans="1:25" ht="13" x14ac:dyDescent="0.3">
      <c r="A15" s="3"/>
      <c r="B15" s="5" t="s">
        <v>74</v>
      </c>
      <c r="C15" s="210" t="s">
        <v>56</v>
      </c>
      <c r="D15" s="216">
        <f>Summary!N17/R1</f>
        <v>8.9907165000000013</v>
      </c>
      <c r="E15" s="216">
        <f t="shared" si="2"/>
        <v>1.0645451223233131</v>
      </c>
      <c r="F15" s="54"/>
      <c r="G15" s="55"/>
      <c r="H15" s="47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7"/>
      <c r="T15" s="48"/>
      <c r="U15" s="48"/>
      <c r="V15" s="48"/>
      <c r="W15" s="3"/>
      <c r="X15" s="3"/>
      <c r="Y15" s="3"/>
    </row>
    <row r="16" spans="1:25" ht="26" x14ac:dyDescent="0.3">
      <c r="A16" s="3"/>
      <c r="B16" s="5" t="s">
        <v>78</v>
      </c>
      <c r="C16" s="210" t="s">
        <v>60</v>
      </c>
      <c r="D16" s="216">
        <f>Summary!N24/R1</f>
        <v>17.620110170000004</v>
      </c>
      <c r="E16" s="216">
        <f t="shared" si="2"/>
        <v>2.0863078416801271</v>
      </c>
      <c r="F16" s="54"/>
      <c r="G16" s="55"/>
      <c r="H16" s="47"/>
      <c r="I16" s="47"/>
      <c r="J16" s="47"/>
      <c r="K16" s="47"/>
      <c r="L16" s="48"/>
      <c r="M16" s="48"/>
      <c r="N16" s="48"/>
      <c r="O16" s="48"/>
      <c r="P16" s="48"/>
      <c r="Q16" s="48"/>
      <c r="R16" s="48"/>
      <c r="S16" s="47"/>
      <c r="T16" s="48"/>
      <c r="U16" s="48"/>
      <c r="V16" s="48"/>
      <c r="W16" s="3"/>
      <c r="X16" s="3"/>
      <c r="Y16" s="3"/>
    </row>
    <row r="17" spans="1:25" ht="39" x14ac:dyDescent="0.3">
      <c r="A17" s="3"/>
      <c r="B17" s="9" t="s">
        <v>86</v>
      </c>
      <c r="C17" s="205"/>
      <c r="D17" s="217">
        <f>SUM(D10:D16)</f>
        <v>139.50670493800004</v>
      </c>
      <c r="E17" s="217">
        <f>D17/$D$21*100</f>
        <v>16.518281081729761</v>
      </c>
      <c r="F17" s="56"/>
      <c r="G17" s="5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"/>
      <c r="X17" s="3"/>
      <c r="Y17" s="3"/>
    </row>
    <row r="18" spans="1:25" ht="13" x14ac:dyDescent="0.3">
      <c r="A18" s="3"/>
      <c r="B18" s="9" t="s">
        <v>48</v>
      </c>
      <c r="C18" s="202"/>
      <c r="D18" s="217">
        <f>D8+D17</f>
        <v>139.50670493800004</v>
      </c>
      <c r="E18" s="217">
        <f>D18/$D$21*100</f>
        <v>16.518281081729761</v>
      </c>
      <c r="F18" s="56"/>
      <c r="G18" s="57"/>
      <c r="H18" s="49"/>
      <c r="I18" s="52"/>
      <c r="J18" s="52"/>
      <c r="K18" s="5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"/>
      <c r="X18" s="3"/>
      <c r="Y18" s="3"/>
    </row>
    <row r="19" spans="1:25" ht="13" x14ac:dyDescent="0.3">
      <c r="A19" s="3"/>
      <c r="B19" s="9" t="s">
        <v>49</v>
      </c>
      <c r="C19" s="204"/>
      <c r="D19" s="218"/>
      <c r="E19" s="218"/>
      <c r="F19" s="58"/>
      <c r="G19" s="5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"/>
      <c r="X19" s="3"/>
      <c r="Y19" s="3"/>
    </row>
    <row r="20" spans="1:25" ht="13" x14ac:dyDescent="0.3">
      <c r="A20" s="3"/>
      <c r="B20" s="5" t="s">
        <v>87</v>
      </c>
      <c r="C20" s="202"/>
      <c r="D20" s="216">
        <f>Summary!N27/R1</f>
        <v>705.05275162859812</v>
      </c>
      <c r="E20" s="216">
        <f>D20/$D$21*100</f>
        <v>83.481718918270246</v>
      </c>
      <c r="F20" s="60"/>
      <c r="G20" s="6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</row>
    <row r="21" spans="1:25" ht="13" x14ac:dyDescent="0.3">
      <c r="A21" s="3"/>
      <c r="B21" s="9" t="s">
        <v>51</v>
      </c>
      <c r="C21" s="203"/>
      <c r="D21" s="217">
        <f>D20+D18</f>
        <v>844.5594565665981</v>
      </c>
      <c r="E21" s="217">
        <f>D21/$D$21*100</f>
        <v>100</v>
      </c>
      <c r="F21" s="60"/>
      <c r="G21" s="6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</row>
    <row r="22" spans="1:25" s="1" customFormat="1" x14ac:dyDescent="0.25"/>
    <row r="23" spans="1:25" s="1" customFormat="1" x14ac:dyDescent="0.25">
      <c r="B23" s="171"/>
    </row>
    <row r="24" spans="1:25" s="1" customFormat="1" x14ac:dyDescent="0.25">
      <c r="B24" s="171"/>
      <c r="D24" s="172"/>
    </row>
    <row r="25" spans="1:25" s="1" customFormat="1" x14ac:dyDescent="0.25">
      <c r="B25" s="171"/>
      <c r="D25" s="172"/>
    </row>
    <row r="26" spans="1:25" s="1" customFormat="1" x14ac:dyDescent="0.25"/>
    <row r="27" spans="1:25" s="1" customFormat="1" x14ac:dyDescent="0.25"/>
    <row r="28" spans="1:25" s="1" customFormat="1" x14ac:dyDescent="0.25"/>
    <row r="29" spans="1:25" s="1" customFormat="1" x14ac:dyDescent="0.25"/>
    <row r="30" spans="1:25" s="1" customFormat="1" x14ac:dyDescent="0.25"/>
    <row r="31" spans="1:25" s="1" customFormat="1" x14ac:dyDescent="0.25"/>
    <row r="32" spans="1:25" s="1" customFormat="1" x14ac:dyDescent="0.25"/>
  </sheetData>
  <mergeCells count="2">
    <mergeCell ref="F2:K2"/>
    <mergeCell ref="L2:Q2"/>
  </mergeCells>
  <pageMargins left="0.7" right="0.7" top="0.78740157499999996" bottom="0.78740157499999996" header="0.3" footer="0.3"/>
  <pageSetup paperSize="9" orientation="portrait" horizontalDpi="300" verticalDpi="300" r:id="rId1"/>
  <headerFooter>
    <oddFooter>&amp;C&amp;1#&amp;"Calibri"&amp;10&amp;K000000Internal</oddFooter>
  </headerFooter>
  <ignoredErrors>
    <ignoredError sqref="C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78C5-27BB-4730-853D-D066E42A2E58}">
  <sheetPr>
    <tabColor rgb="FF00B050"/>
  </sheetPr>
  <dimension ref="A2:X32"/>
  <sheetViews>
    <sheetView zoomScale="93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0" sqref="A10"/>
    </sheetView>
  </sheetViews>
  <sheetFormatPr defaultRowHeight="12.5" x14ac:dyDescent="0.25"/>
  <cols>
    <col min="1" max="1" width="75.26953125" bestFit="1" customWidth="1"/>
    <col min="3" max="3" width="13.1796875" customWidth="1"/>
    <col min="5" max="5" width="11.81640625" bestFit="1" customWidth="1"/>
    <col min="7" max="7" width="11.453125" customWidth="1"/>
    <col min="9" max="9" width="10.7265625" bestFit="1" customWidth="1"/>
    <col min="14" max="14" width="17.453125" customWidth="1"/>
    <col min="16" max="16" width="14" customWidth="1"/>
    <col min="17" max="17" width="15.453125" customWidth="1"/>
  </cols>
  <sheetData>
    <row r="2" spans="1:24" ht="52" x14ac:dyDescent="0.3">
      <c r="A2" s="31" t="s">
        <v>101</v>
      </c>
      <c r="B2" s="34"/>
      <c r="C2" s="228" t="s">
        <v>2</v>
      </c>
      <c r="D2" s="229"/>
      <c r="E2" s="229"/>
      <c r="F2" s="68"/>
      <c r="G2" s="229" t="s">
        <v>0</v>
      </c>
      <c r="H2" s="229"/>
      <c r="I2" s="229"/>
      <c r="J2" s="68"/>
      <c r="K2" s="69" t="s">
        <v>88</v>
      </c>
      <c r="L2" s="70" t="s">
        <v>89</v>
      </c>
      <c r="M2" s="70" t="s">
        <v>90</v>
      </c>
      <c r="N2" s="71" t="s">
        <v>1</v>
      </c>
      <c r="O2" s="72"/>
      <c r="P2" s="69" t="s">
        <v>88</v>
      </c>
      <c r="Q2" s="70" t="s">
        <v>89</v>
      </c>
      <c r="R2" s="70" t="s">
        <v>90</v>
      </c>
      <c r="S2" s="71" t="s">
        <v>1</v>
      </c>
      <c r="T2" s="72"/>
      <c r="W2" s="73"/>
      <c r="X2" t="s">
        <v>102</v>
      </c>
    </row>
    <row r="3" spans="1:24" ht="13" x14ac:dyDescent="0.3">
      <c r="A3" s="32" t="s">
        <v>103</v>
      </c>
      <c r="B3" s="34"/>
      <c r="C3" s="74">
        <v>2022</v>
      </c>
      <c r="D3" s="39" t="s">
        <v>36</v>
      </c>
      <c r="E3" s="75">
        <v>2021</v>
      </c>
      <c r="F3" s="39" t="s">
        <v>36</v>
      </c>
      <c r="G3" s="76">
        <v>2022</v>
      </c>
      <c r="H3" s="39" t="s">
        <v>36</v>
      </c>
      <c r="I3" s="37">
        <v>2021</v>
      </c>
      <c r="J3" s="39" t="s">
        <v>36</v>
      </c>
      <c r="K3" s="77">
        <v>2022</v>
      </c>
      <c r="L3" s="77">
        <v>2022</v>
      </c>
      <c r="M3" s="77">
        <v>2022</v>
      </c>
      <c r="N3" s="77">
        <v>2022</v>
      </c>
      <c r="O3" s="39" t="s">
        <v>36</v>
      </c>
      <c r="P3" s="78">
        <v>2021</v>
      </c>
      <c r="Q3" s="78">
        <v>2021</v>
      </c>
      <c r="R3" s="78">
        <v>2021</v>
      </c>
      <c r="S3" s="78">
        <v>2021</v>
      </c>
      <c r="T3" s="39" t="s">
        <v>36</v>
      </c>
    </row>
    <row r="4" spans="1:24" ht="13" x14ac:dyDescent="0.3">
      <c r="A4" s="79"/>
      <c r="B4" s="80"/>
      <c r="C4" s="81"/>
      <c r="D4" s="82"/>
      <c r="E4" s="81"/>
      <c r="F4" s="82"/>
      <c r="G4" s="83"/>
      <c r="H4" s="82"/>
      <c r="I4" s="84"/>
      <c r="J4" s="82"/>
      <c r="K4" s="85"/>
      <c r="L4" s="86"/>
      <c r="M4" s="86"/>
      <c r="N4" s="86"/>
      <c r="O4" s="82"/>
      <c r="P4" s="85"/>
      <c r="Q4" s="86"/>
      <c r="R4" s="86"/>
      <c r="S4" s="86"/>
      <c r="T4" s="82"/>
    </row>
    <row r="5" spans="1:24" x14ac:dyDescent="0.25">
      <c r="A5" s="87" t="s">
        <v>65</v>
      </c>
      <c r="B5" s="88">
        <v>3.1</v>
      </c>
      <c r="C5" s="89"/>
      <c r="D5" s="40"/>
      <c r="E5" s="38"/>
      <c r="F5" s="40"/>
      <c r="G5" s="40"/>
      <c r="H5" s="40"/>
      <c r="I5" s="41"/>
      <c r="J5" s="40"/>
      <c r="K5" s="90">
        <f>'[1]OMV Petrom KPI'!$T$16</f>
        <v>165.417</v>
      </c>
      <c r="L5" s="42"/>
      <c r="N5" s="91">
        <f>SUM(K5:L5)</f>
        <v>165.417</v>
      </c>
      <c r="O5" s="92">
        <f>N5/$N$28</f>
        <v>1.9586187652491932E-4</v>
      </c>
      <c r="P5" s="38"/>
      <c r="Q5" s="42"/>
      <c r="R5" s="42"/>
      <c r="S5" s="90"/>
      <c r="T5" s="40"/>
    </row>
    <row r="6" spans="1:24" x14ac:dyDescent="0.25">
      <c r="A6" s="93" t="s">
        <v>43</v>
      </c>
      <c r="B6" s="35" t="s">
        <v>91</v>
      </c>
      <c r="C6" s="94">
        <f>'[1]OMV Petrom KPI'!$U$14</f>
        <v>578251.452259999</v>
      </c>
      <c r="D6" s="95">
        <f>C6/$C$28</f>
        <v>9.4263054345049453E-3</v>
      </c>
      <c r="E6" s="94">
        <f>'[2]OMV Petrom KPI_2021'!T14</f>
        <v>556231.98378999974</v>
      </c>
      <c r="F6" s="95">
        <f>E6/E28</f>
        <v>2.1461622223178982E-2</v>
      </c>
      <c r="G6" s="96">
        <f>'[1]OMV Petrom KPI'!$P$14+'[1]OMV Petrom KPI'!$P$15</f>
        <v>107428.696608</v>
      </c>
      <c r="H6" s="97">
        <f t="shared" ref="H6:H13" si="0">G6/$G$28</f>
        <v>2.9909794173370169E-2</v>
      </c>
      <c r="I6" s="96">
        <f>'[2]OMV Petrom KPI_2021'!O14</f>
        <v>76250.104999999996</v>
      </c>
      <c r="J6" s="98">
        <f>I6/$I$28</f>
        <v>2.6086431908108304E-2</v>
      </c>
      <c r="K6" s="99"/>
      <c r="L6" s="90"/>
      <c r="M6" s="90">
        <f>'[1]OMV Petrom KPI'!$T$14+'[1]OMV Petrom KPI'!$T$15</f>
        <v>12937.806248000019</v>
      </c>
      <c r="N6" s="91">
        <f>SUM(K6:M6)</f>
        <v>12937.806248000019</v>
      </c>
      <c r="O6" s="98">
        <f>N6/$N$28</f>
        <v>1.5318999920498554E-2</v>
      </c>
      <c r="P6" s="99"/>
      <c r="Q6" s="90"/>
      <c r="R6" s="90">
        <f>'[2]OMV Petrom KPI_2021'!S14</f>
        <v>14006.25</v>
      </c>
      <c r="S6" s="100">
        <f>SUM(P6:R6)</f>
        <v>14006.25</v>
      </c>
      <c r="T6" s="98">
        <f>S6/$S$28</f>
        <v>1.8654657020963392E-2</v>
      </c>
    </row>
    <row r="7" spans="1:24" x14ac:dyDescent="0.25">
      <c r="A7" s="101" t="s">
        <v>113</v>
      </c>
      <c r="B7" s="102" t="s">
        <v>93</v>
      </c>
      <c r="C7" s="103"/>
      <c r="D7" s="104"/>
      <c r="E7" s="105"/>
      <c r="F7" s="104"/>
      <c r="G7" s="106">
        <f>+'[1]OMV Petrom KPI'!$P$18</f>
        <v>1923.9161999999999</v>
      </c>
      <c r="H7" s="107">
        <f t="shared" si="0"/>
        <v>5.356477306876987E-4</v>
      </c>
      <c r="I7" s="103">
        <f>SUM('[2]OMV Petrom KPI_2021'!O15,'[2]OMV Petrom KPI_2021'!O16)</f>
        <v>5594.808</v>
      </c>
      <c r="J7" s="108">
        <f>I7/$I$28</f>
        <v>1.914077074791433E-3</v>
      </c>
      <c r="K7" s="105"/>
      <c r="L7" s="109"/>
      <c r="M7" s="110"/>
      <c r="N7" s="111"/>
      <c r="O7" s="112"/>
      <c r="P7" s="105"/>
      <c r="Q7" s="109"/>
      <c r="R7" s="73"/>
      <c r="S7" s="109"/>
      <c r="T7" s="112"/>
    </row>
    <row r="8" spans="1:24" s="223" customFormat="1" x14ac:dyDescent="0.25">
      <c r="A8" s="220" t="s">
        <v>114</v>
      </c>
      <c r="B8" s="221" t="s">
        <v>93</v>
      </c>
      <c r="C8" s="89"/>
      <c r="D8" s="132"/>
      <c r="E8" s="119"/>
      <c r="F8" s="132"/>
      <c r="G8" s="116">
        <f>'[1]OMV Petrom KPI'!$P$17</f>
        <v>1045.47</v>
      </c>
      <c r="H8" s="126">
        <f t="shared" si="0"/>
        <v>2.910748571076372E-4</v>
      </c>
      <c r="I8" s="89"/>
      <c r="J8" s="92"/>
      <c r="K8" s="118"/>
      <c r="L8" s="118"/>
      <c r="M8" s="222"/>
      <c r="N8" s="128"/>
      <c r="O8" s="129"/>
      <c r="P8" s="119"/>
      <c r="Q8" s="118"/>
      <c r="S8" s="118"/>
      <c r="T8" s="129"/>
    </row>
    <row r="9" spans="1:24" x14ac:dyDescent="0.25">
      <c r="A9" s="87" t="s">
        <v>104</v>
      </c>
      <c r="B9" s="113">
        <v>4.13</v>
      </c>
      <c r="C9" s="89"/>
      <c r="D9" s="114"/>
      <c r="E9" s="115"/>
      <c r="F9" s="114"/>
      <c r="G9" s="116">
        <f>SUM('[1]OMV Petrom KPI'!$P$19,'[1]OMV Petrom KPI'!$P$20)</f>
        <v>25468.127370000002</v>
      </c>
      <c r="H9" s="117">
        <f t="shared" si="0"/>
        <v>7.0907166489921807E-3</v>
      </c>
      <c r="I9" s="89"/>
      <c r="J9" s="92"/>
      <c r="K9" s="90">
        <f>'[1]OMV Petrom KPI'!$T$19</f>
        <v>949.178</v>
      </c>
      <c r="L9" s="118"/>
      <c r="N9" s="91">
        <f>SUM(K9:L9)</f>
        <v>949.178</v>
      </c>
      <c r="O9" s="92">
        <f t="shared" ref="O9:O10" si="1">N9/$N$28</f>
        <v>1.1238735089874068E-3</v>
      </c>
      <c r="P9" s="119"/>
      <c r="Q9" s="118"/>
      <c r="S9" s="120"/>
      <c r="T9" s="121"/>
    </row>
    <row r="10" spans="1:24" x14ac:dyDescent="0.25">
      <c r="A10" s="122" t="s">
        <v>46</v>
      </c>
      <c r="B10" s="113">
        <v>4.29</v>
      </c>
      <c r="C10" s="89">
        <f>'[1]OMV Petrom KPI'!$U$21+'[1]OMV Petrom KPI'!$U$24+'[1]OMV Petrom KPI'!$U$25</f>
        <v>10406851.09168</v>
      </c>
      <c r="D10" s="123">
        <f>C10/$C$28</f>
        <v>0.16964619218540081</v>
      </c>
      <c r="E10" s="124"/>
      <c r="F10" s="114"/>
      <c r="G10" s="96">
        <f>'[1]OMV Petrom KPI'!$P$21+'[1]OMV Petrom KPI'!$P$24+'[1]OMV Petrom KPI'!$P$25+'[1]OMV Petrom KPI'!$P$22</f>
        <v>190156.13516000001</v>
      </c>
      <c r="H10" s="97">
        <f t="shared" si="0"/>
        <v>5.2942379857707583E-2</v>
      </c>
      <c r="I10" s="125"/>
      <c r="J10" s="92"/>
      <c r="K10" s="119"/>
      <c r="L10" s="118"/>
      <c r="M10" s="90">
        <f>'[1]OMV Petrom KPI'!$T$21+'[1]OMV Petrom KPI'!$T$22+'[1]OMV Petrom KPI'!$T$24+'[1]OMV Petrom KPI'!$T$25</f>
        <v>86446.255970000013</v>
      </c>
      <c r="N10" s="91">
        <f>SUM(K10:M10)</f>
        <v>86446.255970000013</v>
      </c>
      <c r="O10" s="98">
        <f t="shared" si="1"/>
        <v>0.1023566254546855</v>
      </c>
      <c r="P10" s="119"/>
      <c r="Q10" s="118"/>
      <c r="S10" s="120"/>
      <c r="T10" s="121"/>
    </row>
    <row r="11" spans="1:24" x14ac:dyDescent="0.25">
      <c r="A11" s="87" t="s">
        <v>97</v>
      </c>
      <c r="B11" s="88">
        <v>4.3</v>
      </c>
      <c r="C11" s="89">
        <f>'[1]OMV Petrom KPI'!$U$26</f>
        <v>5334.5782600000002</v>
      </c>
      <c r="D11" s="123">
        <f>C11/$C$28</f>
        <v>8.696106831465448E-5</v>
      </c>
      <c r="E11" s="124"/>
      <c r="F11" s="114"/>
      <c r="G11" s="116">
        <f>'[1]OMV Petrom KPI'!$P$26</f>
        <v>6555.1773700000003</v>
      </c>
      <c r="H11" s="126">
        <f t="shared" si="0"/>
        <v>1.825061758145109E-3</v>
      </c>
      <c r="I11" s="125"/>
      <c r="J11" s="92"/>
      <c r="K11" s="119"/>
      <c r="L11" s="118"/>
      <c r="M11" s="127"/>
      <c r="N11" s="128"/>
      <c r="O11" s="129"/>
      <c r="P11" s="119"/>
      <c r="Q11" s="118"/>
      <c r="S11" s="120"/>
      <c r="T11" s="121"/>
    </row>
    <row r="12" spans="1:24" x14ac:dyDescent="0.25">
      <c r="A12" s="130" t="s">
        <v>44</v>
      </c>
      <c r="B12" s="35" t="s">
        <v>94</v>
      </c>
      <c r="C12" s="89">
        <f>'[1]OMV Petrom KPI'!$U$23</f>
        <v>1039.63069</v>
      </c>
      <c r="D12" s="123">
        <f>C12/$C$28</f>
        <v>1.6947430715001146E-5</v>
      </c>
      <c r="E12" s="89">
        <f>'[2]OMV Petrom KPI_2021'!T17</f>
        <v>1012.3134700000001</v>
      </c>
      <c r="F12" s="123">
        <f>E12/E28</f>
        <v>3.9059043524505126E-5</v>
      </c>
      <c r="G12" s="116">
        <f>'[1]OMV Petrom KPI'!$P$23</f>
        <v>4936.2085600000009</v>
      </c>
      <c r="H12" s="126">
        <f t="shared" si="0"/>
        <v>1.3743160504419026E-3</v>
      </c>
      <c r="I12" s="89">
        <f>'[2]OMV Petrom KPI_2021'!O17</f>
        <v>2024.1610000000001</v>
      </c>
      <c r="J12" s="92">
        <f>I12/$I$28</f>
        <v>6.924992181656461E-4</v>
      </c>
      <c r="K12" s="119"/>
      <c r="L12" s="118"/>
      <c r="M12" s="90">
        <f>'[1]OMV Petrom KPI'!$T$23</f>
        <v>12397.22105</v>
      </c>
      <c r="N12" s="128">
        <f>SUM(K12:M12)</f>
        <v>12397.22105</v>
      </c>
      <c r="O12" s="98">
        <f>N12/$N$28</f>
        <v>1.4678920416566802E-2</v>
      </c>
      <c r="P12" s="119"/>
      <c r="Q12" s="118"/>
      <c r="R12" s="118">
        <f>'[2]OMV Petrom KPI_2021'!S17</f>
        <v>9825.0242699999999</v>
      </c>
      <c r="S12" s="131">
        <f>SUM(P12:R12)</f>
        <v>9825.0242699999999</v>
      </c>
      <c r="T12" s="98">
        <f>S12/$S$28</f>
        <v>1.3085762283230074E-2</v>
      </c>
    </row>
    <row r="13" spans="1:24" x14ac:dyDescent="0.25">
      <c r="A13" s="87" t="s">
        <v>98</v>
      </c>
      <c r="B13" s="88">
        <v>6.1</v>
      </c>
      <c r="C13" s="89"/>
      <c r="D13" s="123"/>
      <c r="E13" s="119"/>
      <c r="F13" s="123"/>
      <c r="G13" s="116">
        <f>'[1]OMV Petrom KPI'!$P$31</f>
        <v>17448.42986</v>
      </c>
      <c r="H13" s="126">
        <f t="shared" si="0"/>
        <v>4.8579100579185727E-3</v>
      </c>
      <c r="I13" s="89"/>
      <c r="J13" s="92"/>
      <c r="K13" s="119"/>
      <c r="L13" s="118"/>
      <c r="M13" s="90"/>
      <c r="N13" s="128"/>
      <c r="O13" s="92"/>
      <c r="P13" s="119"/>
      <c r="Q13" s="118"/>
      <c r="R13" s="118"/>
      <c r="S13" s="131"/>
      <c r="T13" s="98"/>
    </row>
    <row r="14" spans="1:24" x14ac:dyDescent="0.25">
      <c r="A14" s="130" t="s">
        <v>71</v>
      </c>
      <c r="B14" s="35" t="s">
        <v>53</v>
      </c>
      <c r="C14" s="89"/>
      <c r="D14" s="132"/>
      <c r="E14" s="119"/>
      <c r="F14" s="132"/>
      <c r="G14" s="116"/>
      <c r="H14" s="126"/>
      <c r="I14" s="89">
        <f>'[2]OMV Petrom KPI_2021'!O18</f>
        <v>9058.98</v>
      </c>
      <c r="J14" s="92">
        <f>I14/$I$28</f>
        <v>3.0992280591209021E-3</v>
      </c>
      <c r="K14" s="119"/>
      <c r="L14" s="118"/>
      <c r="M14" s="90"/>
      <c r="N14" s="128"/>
      <c r="O14" s="129"/>
      <c r="P14" s="119"/>
      <c r="Q14" s="118"/>
      <c r="R14" s="118"/>
      <c r="S14" s="120"/>
      <c r="T14" s="121"/>
    </row>
    <row r="15" spans="1:24" x14ac:dyDescent="0.25">
      <c r="A15" s="130" t="s">
        <v>72</v>
      </c>
      <c r="B15" s="35" t="s">
        <v>54</v>
      </c>
      <c r="C15" s="89"/>
      <c r="D15" s="132"/>
      <c r="E15" s="119"/>
      <c r="F15" s="132"/>
      <c r="G15" s="116">
        <f>'[1]OMV Petrom KPI'!$P$29</f>
        <v>17812.390729999999</v>
      </c>
      <c r="H15" s="117">
        <f>G15/$G$28</f>
        <v>4.9592423373986351E-3</v>
      </c>
      <c r="I15" s="89">
        <f>'[2]OMV Petrom KPI_2021'!O20</f>
        <v>6447.165</v>
      </c>
      <c r="J15" s="92">
        <f>I15/$I$28</f>
        <v>2.2056826121464239E-3</v>
      </c>
      <c r="K15" s="119"/>
      <c r="L15" s="118"/>
      <c r="M15" s="90"/>
      <c r="N15" s="128"/>
      <c r="O15" s="92"/>
      <c r="P15" s="119"/>
      <c r="Q15" s="118"/>
      <c r="R15" s="118">
        <f>SUM('[2]OMV Petrom KPI_2021'!S20:S23)</f>
        <v>4763.2084699999987</v>
      </c>
      <c r="S15" s="120">
        <f t="shared" ref="S15:S20" si="2">SUM(P15:R15)</f>
        <v>4763.2084699999987</v>
      </c>
      <c r="T15" s="133">
        <f>S15/$S$28</f>
        <v>6.3440264401390641E-3</v>
      </c>
    </row>
    <row r="16" spans="1:24" x14ac:dyDescent="0.25">
      <c r="A16" s="130" t="s">
        <v>73</v>
      </c>
      <c r="B16" s="35" t="s">
        <v>55</v>
      </c>
      <c r="C16" s="89"/>
      <c r="D16" s="132"/>
      <c r="E16" s="119"/>
      <c r="F16" s="132"/>
      <c r="G16" s="116"/>
      <c r="H16" s="126"/>
      <c r="I16" s="134">
        <f>'[2]OMV Petrom KPI_2021'!O24</f>
        <v>3405.8</v>
      </c>
      <c r="J16" s="133">
        <f>I16/$I$28</f>
        <v>1.1651809501460396E-3</v>
      </c>
      <c r="K16" s="119"/>
      <c r="L16" s="118"/>
      <c r="M16" s="90"/>
      <c r="N16" s="128"/>
      <c r="O16" s="129"/>
      <c r="P16" s="119"/>
      <c r="Q16" s="118"/>
      <c r="R16" s="118"/>
      <c r="S16" s="120"/>
      <c r="T16" s="121"/>
    </row>
    <row r="17" spans="1:21" x14ac:dyDescent="0.25">
      <c r="A17" s="130" t="s">
        <v>74</v>
      </c>
      <c r="B17" s="35" t="s">
        <v>56</v>
      </c>
      <c r="C17" s="89"/>
      <c r="D17" s="132"/>
      <c r="E17" s="119"/>
      <c r="F17" s="132"/>
      <c r="G17" s="116">
        <f>'[1]OMV Petrom KPI'!$P$28</f>
        <v>46171.673510000001</v>
      </c>
      <c r="H17" s="117">
        <f>G17/$G$28</f>
        <v>1.285490092431512E-2</v>
      </c>
      <c r="I17" s="135">
        <f>'[2]OMV Petrom KPI_2021'!O19</f>
        <v>48554.03</v>
      </c>
      <c r="J17" s="98">
        <f>I17/$I$28</f>
        <v>1.6611142993957162E-2</v>
      </c>
      <c r="K17" s="119"/>
      <c r="L17" s="118"/>
      <c r="M17" s="90">
        <f>'[1]OMV Petrom KPI'!$T$28</f>
        <v>8990.7165000000005</v>
      </c>
      <c r="N17" s="128">
        <f t="shared" ref="N17" si="3">SUM(K17:M17)</f>
        <v>8990.7165000000005</v>
      </c>
      <c r="O17" s="92">
        <f>N17/$N$28</f>
        <v>1.064545122323313E-2</v>
      </c>
      <c r="P17" s="119"/>
      <c r="Q17" s="118"/>
      <c r="R17" s="118">
        <f>'[2]OMV Petrom KPI_2021'!S19</f>
        <v>9136.8906099999986</v>
      </c>
      <c r="S17" s="131">
        <f t="shared" si="2"/>
        <v>9136.8906099999986</v>
      </c>
      <c r="T17" s="98">
        <f>S17/$S$28</f>
        <v>1.2169250196705825E-2</v>
      </c>
    </row>
    <row r="18" spans="1:21" x14ac:dyDescent="0.25">
      <c r="A18" s="136" t="s">
        <v>99</v>
      </c>
      <c r="B18" s="137">
        <v>6.15</v>
      </c>
      <c r="C18" s="103"/>
      <c r="D18" s="104"/>
      <c r="E18" s="105"/>
      <c r="F18" s="104"/>
      <c r="G18" s="138">
        <f>'[1]OMV Petrom KPI'!$P$32</f>
        <v>6378.8108000000002</v>
      </c>
      <c r="H18" s="107">
        <f>G18/$G$28</f>
        <v>1.7759586043852554E-3</v>
      </c>
      <c r="I18" s="103"/>
      <c r="J18" s="108"/>
      <c r="K18" s="105"/>
      <c r="L18" s="109"/>
      <c r="M18" s="139"/>
      <c r="N18" s="111"/>
      <c r="O18" s="108"/>
      <c r="P18" s="105"/>
      <c r="Q18" s="109"/>
      <c r="R18" s="109"/>
      <c r="S18" s="109"/>
      <c r="T18" s="108"/>
    </row>
    <row r="19" spans="1:21" x14ac:dyDescent="0.25">
      <c r="A19" s="130" t="s">
        <v>75</v>
      </c>
      <c r="B19" s="35" t="s">
        <v>57</v>
      </c>
      <c r="C19" s="89"/>
      <c r="D19" s="132"/>
      <c r="E19" s="119"/>
      <c r="F19" s="132"/>
      <c r="G19" s="116"/>
      <c r="H19" s="126"/>
      <c r="I19" s="135">
        <f>'[2]OMV Petrom KPI_2021'!O26</f>
        <v>19189.156999999999</v>
      </c>
      <c r="J19" s="98">
        <f>I19/$I$28</f>
        <v>6.5649304673678788E-3</v>
      </c>
      <c r="K19" s="119"/>
      <c r="L19" s="118"/>
      <c r="M19" s="90"/>
      <c r="N19" s="140"/>
      <c r="O19" s="121"/>
      <c r="P19" s="119"/>
      <c r="Q19" s="118"/>
      <c r="R19" s="118"/>
      <c r="S19" s="120"/>
      <c r="T19" s="121"/>
    </row>
    <row r="20" spans="1:21" x14ac:dyDescent="0.25">
      <c r="A20" s="130" t="s">
        <v>76</v>
      </c>
      <c r="B20" s="35" t="s">
        <v>58</v>
      </c>
      <c r="C20" s="89"/>
      <c r="D20" s="114"/>
      <c r="E20" s="115"/>
      <c r="F20" s="114"/>
      <c r="G20" s="116"/>
      <c r="H20" s="126"/>
      <c r="I20" s="89">
        <f>'[2]OMV Petrom KPI_2021'!O27</f>
        <v>6253.7349999999997</v>
      </c>
      <c r="J20" s="92">
        <f>I20/$I$28</f>
        <v>2.1395069849261673E-3</v>
      </c>
      <c r="K20" s="119"/>
      <c r="L20" s="118"/>
      <c r="M20" s="90"/>
      <c r="N20" s="128"/>
      <c r="O20" s="92"/>
      <c r="P20" s="119"/>
      <c r="Q20" s="118"/>
      <c r="R20" s="118">
        <f>SUM('[2]OMV Petrom KPI_2021'!S25,'[2]OMV Petrom KPI_2021'!S27)</f>
        <v>9025.4481599999999</v>
      </c>
      <c r="S20" s="131">
        <f t="shared" si="2"/>
        <v>9025.4481599999999</v>
      </c>
      <c r="T20" s="98">
        <f>S20/$S$28</f>
        <v>1.2020822124786086E-2</v>
      </c>
    </row>
    <row r="21" spans="1:21" x14ac:dyDescent="0.25">
      <c r="A21" s="130" t="s">
        <v>95</v>
      </c>
      <c r="B21" s="35">
        <v>7.3</v>
      </c>
      <c r="C21" s="89"/>
      <c r="D21" s="114"/>
      <c r="E21" s="115"/>
      <c r="F21" s="114"/>
      <c r="G21" s="106">
        <f>'[1]OMV Petrom KPI'!$P$38</f>
        <v>16395.083753835341</v>
      </c>
      <c r="H21" s="126">
        <f>G21/$G$28</f>
        <v>4.5646423722491948E-3</v>
      </c>
      <c r="I21" s="89"/>
      <c r="J21" s="92"/>
      <c r="K21" s="119"/>
      <c r="L21" s="118"/>
      <c r="M21" s="90"/>
      <c r="N21" s="128"/>
      <c r="O21" s="92"/>
      <c r="P21" s="119"/>
      <c r="Q21" s="118"/>
      <c r="R21" s="118"/>
      <c r="S21" s="131"/>
      <c r="T21" s="98"/>
    </row>
    <row r="22" spans="1:21" x14ac:dyDescent="0.25">
      <c r="A22" s="136" t="s">
        <v>69</v>
      </c>
      <c r="B22" s="137">
        <v>7.6</v>
      </c>
      <c r="C22" s="103"/>
      <c r="D22" s="104"/>
      <c r="E22" s="105"/>
      <c r="F22" s="104"/>
      <c r="G22" s="106">
        <f>SUM('[1]OMV Petrom KPI'!$P$37,'[1]OMV Petrom KPI'!$P$39)</f>
        <v>6384.9960996600021</v>
      </c>
      <c r="H22" s="107">
        <f>G22/$G$28</f>
        <v>1.7776806865250614E-3</v>
      </c>
      <c r="I22" s="103"/>
      <c r="J22" s="108"/>
      <c r="K22" s="105"/>
      <c r="L22" s="109"/>
      <c r="M22" s="139"/>
      <c r="N22" s="111"/>
      <c r="O22" s="108"/>
      <c r="P22" s="105"/>
      <c r="Q22" s="109"/>
      <c r="R22" s="109"/>
      <c r="S22" s="109"/>
      <c r="T22" s="108"/>
    </row>
    <row r="23" spans="1:21" x14ac:dyDescent="0.25">
      <c r="A23" s="130" t="s">
        <v>77</v>
      </c>
      <c r="B23" s="35" t="s">
        <v>59</v>
      </c>
      <c r="C23" s="89"/>
      <c r="D23" s="114"/>
      <c r="E23" s="115"/>
      <c r="F23" s="114"/>
      <c r="G23" s="141" t="s">
        <v>105</v>
      </c>
      <c r="H23" s="142"/>
      <c r="I23" s="143" t="s">
        <v>105</v>
      </c>
      <c r="J23" s="144"/>
      <c r="K23" s="119"/>
      <c r="L23" s="118"/>
      <c r="M23" s="90"/>
      <c r="N23" s="140"/>
      <c r="O23" s="121"/>
      <c r="P23" s="119"/>
      <c r="Q23" s="118"/>
      <c r="R23" s="118"/>
      <c r="S23" s="120"/>
      <c r="T23" s="121"/>
    </row>
    <row r="24" spans="1:21" x14ac:dyDescent="0.25">
      <c r="A24" s="130" t="s">
        <v>78</v>
      </c>
      <c r="B24" s="35" t="s">
        <v>92</v>
      </c>
      <c r="C24" s="89"/>
      <c r="D24" s="145"/>
      <c r="E24" s="38"/>
      <c r="F24" s="145"/>
      <c r="G24" s="89"/>
      <c r="H24" s="40"/>
      <c r="I24" s="146"/>
      <c r="J24" s="40"/>
      <c r="K24" s="99">
        <f>SUM('[1]OMV Petrom KPI'!$T$45,'[1]OMV Petrom KPI'!$T$46)</f>
        <v>17620.110170000004</v>
      </c>
      <c r="L24" s="90"/>
      <c r="M24" s="90"/>
      <c r="N24" s="147">
        <f>SUM(K24:M24)</f>
        <v>17620.110170000004</v>
      </c>
      <c r="O24" s="98">
        <f>N24/$N$28</f>
        <v>2.0863078416801271E-2</v>
      </c>
      <c r="P24" s="99">
        <f>SUM('[2]OMV Petrom KPI_2021'!S29,'[2]OMV Petrom KPI_2021'!S28)</f>
        <v>7539.0650900000001</v>
      </c>
      <c r="Q24" s="90"/>
      <c r="R24" s="90"/>
      <c r="S24" s="42">
        <f>SUM(P24:R24)</f>
        <v>7539.0650900000001</v>
      </c>
      <c r="T24" s="133">
        <f>S24/$S$28</f>
        <v>1.0041136886223543E-2</v>
      </c>
    </row>
    <row r="25" spans="1:21" x14ac:dyDescent="0.25">
      <c r="A25" s="130"/>
      <c r="B25" s="148"/>
      <c r="C25" s="149"/>
      <c r="D25" s="114"/>
      <c r="E25" s="115"/>
      <c r="F25" s="114"/>
      <c r="G25" s="150"/>
      <c r="H25" s="144"/>
      <c r="I25" s="115"/>
      <c r="J25" s="144"/>
      <c r="K25" s="119"/>
      <c r="L25" s="118"/>
      <c r="M25" s="128"/>
      <c r="N25" s="120"/>
      <c r="O25" s="121"/>
      <c r="P25" s="119"/>
      <c r="Q25" s="118"/>
      <c r="R25" s="118"/>
      <c r="S25" s="120"/>
      <c r="T25" s="121"/>
    </row>
    <row r="26" spans="1:21" ht="12.75" customHeight="1" x14ac:dyDescent="0.3">
      <c r="A26" s="33" t="s">
        <v>5</v>
      </c>
      <c r="B26" s="36"/>
      <c r="C26" s="151">
        <f>SUM(C5:C24)</f>
        <v>10991476.752889998</v>
      </c>
      <c r="D26" s="152">
        <f>C26/C28</f>
        <v>0.1791764061189354</v>
      </c>
      <c r="E26" s="151">
        <f>SUM(E5:E24)</f>
        <v>557244.29725999979</v>
      </c>
      <c r="F26" s="153">
        <f>E26/E28</f>
        <v>2.150068126670349E-2</v>
      </c>
      <c r="G26" s="154">
        <f>SUM(G5:G24)</f>
        <v>448105.11602149525</v>
      </c>
      <c r="H26" s="155">
        <f>G26/G28</f>
        <v>0.1247593260592441</v>
      </c>
      <c r="I26" s="151">
        <f>SUM(I5:I24)</f>
        <v>176777.94099999999</v>
      </c>
      <c r="J26" s="156">
        <f>I26/I28</f>
        <v>6.0478680268729955E-2</v>
      </c>
      <c r="K26" s="151">
        <f>SUM(K5:K24)</f>
        <v>18734.705170000005</v>
      </c>
      <c r="L26" s="154">
        <v>0</v>
      </c>
      <c r="M26" s="151">
        <f>SUM(M5:M24)</f>
        <v>120771.99976800002</v>
      </c>
      <c r="N26" s="151">
        <f>SUM(N5:N24)</f>
        <v>139506.70493800004</v>
      </c>
      <c r="O26" s="155">
        <f>N26/N28</f>
        <v>0.16518281081729758</v>
      </c>
      <c r="P26" s="151">
        <v>7539.0650900000001</v>
      </c>
      <c r="Q26" s="154">
        <v>0</v>
      </c>
      <c r="R26" s="154">
        <v>46756.346670000006</v>
      </c>
      <c r="S26" s="154">
        <v>54295.411760000003</v>
      </c>
      <c r="T26" s="156">
        <f>S26/S28</f>
        <v>7.231502252171583E-2</v>
      </c>
    </row>
    <row r="27" spans="1:21" ht="12.75" customHeight="1" x14ac:dyDescent="0.3">
      <c r="A27" s="157" t="s">
        <v>3</v>
      </c>
      <c r="B27" s="158"/>
      <c r="C27" s="159">
        <f>C28-C26</f>
        <v>50352965.804987699</v>
      </c>
      <c r="D27" s="160">
        <f>C27/C28</f>
        <v>0.82082359388106463</v>
      </c>
      <c r="E27" s="159">
        <f>E28-E26</f>
        <v>25360273.866360363</v>
      </c>
      <c r="F27" s="160">
        <f>E27/E28</f>
        <v>0.97849931873329643</v>
      </c>
      <c r="G27" s="159">
        <f>G28-G26</f>
        <v>3143651.3496130249</v>
      </c>
      <c r="H27" s="161">
        <f>G27/G28</f>
        <v>0.87524067394075589</v>
      </c>
      <c r="I27" s="159">
        <f>I28-I26</f>
        <v>2746201.5323368493</v>
      </c>
      <c r="J27" s="161">
        <f>I27/I28</f>
        <v>0.93952131973126995</v>
      </c>
      <c r="K27" s="159"/>
      <c r="L27" s="162"/>
      <c r="M27" s="162"/>
      <c r="N27" s="162">
        <f t="shared" ref="N27:S27" si="4">N28-N26</f>
        <v>705052.75162859808</v>
      </c>
      <c r="O27" s="161">
        <f>N27/N28</f>
        <v>0.83481718918270242</v>
      </c>
      <c r="P27" s="159">
        <f t="shared" si="4"/>
        <v>40580.830289999998</v>
      </c>
      <c r="Q27" s="162">
        <f t="shared" si="4"/>
        <v>10162.215337301994</v>
      </c>
      <c r="R27" s="162">
        <f t="shared" si="4"/>
        <v>645779.42065035412</v>
      </c>
      <c r="S27" s="162">
        <f t="shared" si="4"/>
        <v>696522.46627765626</v>
      </c>
      <c r="T27" s="161">
        <f>S27/S28</f>
        <v>0.92768497747828416</v>
      </c>
    </row>
    <row r="28" spans="1:21" ht="12.75" customHeight="1" x14ac:dyDescent="0.3">
      <c r="A28" s="157" t="s">
        <v>4</v>
      </c>
      <c r="B28" s="158"/>
      <c r="C28" s="159">
        <f>'[3]Sales KPI '!$D$18</f>
        <v>61344442.557877697</v>
      </c>
      <c r="D28" s="163">
        <f>SUM(D26:D27)</f>
        <v>1</v>
      </c>
      <c r="E28" s="159">
        <v>25917518.163620364</v>
      </c>
      <c r="F28" s="163">
        <f>SUM(F26:F27)</f>
        <v>0.99999999999999989</v>
      </c>
      <c r="G28" s="164">
        <f>'[3]CAPEX KPI'!$G$18</f>
        <v>3591756.4656345202</v>
      </c>
      <c r="H28" s="165"/>
      <c r="I28" s="159">
        <v>2922979.4733368494</v>
      </c>
      <c r="J28" s="165"/>
      <c r="K28" s="159">
        <f>'[3]OPEX KPI'!$D$40</f>
        <v>50094.336960000001</v>
      </c>
      <c r="L28" s="162">
        <f>'[3]OPEX KPI'!$M$40</f>
        <v>15015.467346067993</v>
      </c>
      <c r="M28" s="162">
        <f>'[3]OPEX KPI'!$U$40</f>
        <v>674544.96458360704</v>
      </c>
      <c r="N28" s="162">
        <f>'[3]OPEX KPI'!$V$40</f>
        <v>844559.45656659815</v>
      </c>
      <c r="O28" s="166">
        <f>SUM(O26:O27)</f>
        <v>1</v>
      </c>
      <c r="P28" s="159">
        <v>48119.895380000002</v>
      </c>
      <c r="Q28" s="162">
        <v>10162.215337301994</v>
      </c>
      <c r="R28" s="162">
        <v>692535.76732035412</v>
      </c>
      <c r="S28" s="162">
        <v>750817.87803765631</v>
      </c>
      <c r="T28" s="167"/>
      <c r="U28" s="168">
        <f>S28-SUM(P28:R28)</f>
        <v>0</v>
      </c>
    </row>
    <row r="32" spans="1:21" x14ac:dyDescent="0.25">
      <c r="C32" s="168">
        <f>SUM(C10,C6)</f>
        <v>10985102.543939998</v>
      </c>
      <c r="D32" s="224">
        <f>C32/C26</f>
        <v>0.99942007711126502</v>
      </c>
      <c r="G32" s="168">
        <f>SUM(G6,G10)</f>
        <v>297584.83176800003</v>
      </c>
      <c r="H32" s="224">
        <f>G32/G26</f>
        <v>0.66409603713099563</v>
      </c>
      <c r="N32" s="168">
        <f>SUM(N24,N12,N10,N6)</f>
        <v>129401.39343800004</v>
      </c>
      <c r="O32" s="224">
        <f>N32/N26</f>
        <v>0.92756397260983958</v>
      </c>
    </row>
  </sheetData>
  <mergeCells count="2">
    <mergeCell ref="C2:E2"/>
    <mergeCell ref="G2:I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A13AE4653DE42B291AFB092C2A73B" ma:contentTypeVersion="16" ma:contentTypeDescription="Create a new document." ma:contentTypeScope="" ma:versionID="864abfbbd5e672e191eac0fcbf6f1c42">
  <xsd:schema xmlns:xsd="http://www.w3.org/2001/XMLSchema" xmlns:xs="http://www.w3.org/2001/XMLSchema" xmlns:p="http://schemas.microsoft.com/office/2006/metadata/properties" xmlns:ns2="db18fda7-7133-4637-8165-19cdddc1836b" xmlns:ns3="cba47e3c-da1b-44d4-b27c-37c812e59721" targetNamespace="http://schemas.microsoft.com/office/2006/metadata/properties" ma:root="true" ma:fieldsID="3ea9a04efb273523d1055acb8a84b6aa" ns2:_="" ns3:_="">
    <xsd:import namespace="db18fda7-7133-4637-8165-19cdddc1836b"/>
    <xsd:import namespace="cba47e3c-da1b-44d4-b27c-37c812e597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8fda7-7133-4637-8165-19cdddc18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2727bbe-9cf7-4f64-9527-8e5792336a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47e3c-da1b-44d4-b27c-37c812e597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12c275-cb03-4546-b983-47b45fa7024a}" ma:internalName="TaxCatchAll" ma:showField="CatchAllData" ma:web="cba47e3c-da1b-44d4-b27c-37c812e597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a47e3c-da1b-44d4-b27c-37c812e59721" xsi:nil="true"/>
    <lcf76f155ced4ddcb4097134ff3c332f xmlns="db18fda7-7133-4637-8165-19cdddc1836b">
      <Terms xmlns="http://schemas.microsoft.com/office/infopath/2007/PartnerControls"/>
    </lcf76f155ced4ddcb4097134ff3c332f>
    <SharedWithUsers xmlns="cba47e3c-da1b-44d4-b27c-37c812e59721">
      <UserInfo>
        <DisplayName/>
        <AccountId xsi:nil="true"/>
        <AccountType/>
      </UserInfo>
    </SharedWithUsers>
    <MediaLengthInSeconds xmlns="db18fda7-7133-4637-8165-19cdddc1836b" xsi:nil="true"/>
  </documentManagement>
</p:properties>
</file>

<file path=customXml/itemProps1.xml><?xml version="1.0" encoding="utf-8"?>
<ds:datastoreItem xmlns:ds="http://schemas.openxmlformats.org/officeDocument/2006/customXml" ds:itemID="{11FE550C-7C52-4ADE-8701-39B5A1CB94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8B443-8D36-451D-ABA3-72CCDD577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8fda7-7133-4637-8165-19cdddc1836b"/>
    <ds:schemaRef ds:uri="cba47e3c-da1b-44d4-b27c-37c812e597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EBA9A4-CFF7-411C-B91E-4610AE76D028}">
  <ds:schemaRefs>
    <ds:schemaRef ds:uri="http://schemas.microsoft.com/office/2006/metadata/properties"/>
    <ds:schemaRef ds:uri="cba47e3c-da1b-44d4-b27c-37c812e59721"/>
    <ds:schemaRef ds:uri="http://schemas.microsoft.com/office/2006/documentManagement/types"/>
    <ds:schemaRef ds:uri="db18fda7-7133-4637-8165-19cdddc1836b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b6d50f11-2948-4504-b85a-3bd8bed9a0fc}" enabled="1" method="Standard" siteId="{a8f2ac6f-681f-4361-b51f-c85d86014a1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Turnover_EN</vt:lpstr>
      <vt:lpstr>CapEx_EN</vt:lpstr>
      <vt:lpstr>OpEx_EN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Seiwald, Anita</dc:creator>
  <cp:keywords/>
  <dc:description/>
  <cp:lastModifiedBy>Stoian, Magdalena</cp:lastModifiedBy>
  <cp:revision/>
  <dcterms:created xsi:type="dcterms:W3CDTF">2021-06-28T08:45:45Z</dcterms:created>
  <dcterms:modified xsi:type="dcterms:W3CDTF">2023-04-06T13:13:36Z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b6d50f11-2948-4504-b85a-3bd8bed9a0fc_Enabled">
    <vt:lpwstr>true</vt:lpwstr>
  </property>
  <property fmtid="{D5CDD505-2E9C-101B-9397-08002B2CF9AE}" pid="5" name="MSIP_Label_b6d50f11-2948-4504-b85a-3bd8bed9a0fc_SetDate">
    <vt:lpwstr>2022-09-06T16:08:46Z</vt:lpwstr>
  </property>
  <property fmtid="{D5CDD505-2E9C-101B-9397-08002B2CF9AE}" pid="6" name="MSIP_Label_b6d50f11-2948-4504-b85a-3bd8bed9a0fc_Method">
    <vt:lpwstr>Standard</vt:lpwstr>
  </property>
  <property fmtid="{D5CDD505-2E9C-101B-9397-08002B2CF9AE}" pid="7" name="MSIP_Label_b6d50f11-2948-4504-b85a-3bd8bed9a0fc_Name">
    <vt:lpwstr>Internal</vt:lpwstr>
  </property>
  <property fmtid="{D5CDD505-2E9C-101B-9397-08002B2CF9AE}" pid="8" name="MSIP_Label_b6d50f11-2948-4504-b85a-3bd8bed9a0fc_SiteId">
    <vt:lpwstr>a8f2ac6f-681f-4361-b51f-c85d86014a17</vt:lpwstr>
  </property>
  <property fmtid="{D5CDD505-2E9C-101B-9397-08002B2CF9AE}" pid="9" name="MSIP_Label_b6d50f11-2948-4504-b85a-3bd8bed9a0fc_ActionId">
    <vt:lpwstr>4c7e7ffd-07bb-4165-acaa-62efae4d965b</vt:lpwstr>
  </property>
  <property fmtid="{D5CDD505-2E9C-101B-9397-08002B2CF9AE}" pid="10" name="MSIP_Label_b6d50f11-2948-4504-b85a-3bd8bed9a0fc_ContentBits">
    <vt:lpwstr>2</vt:lpwstr>
  </property>
  <property fmtid="{D5CDD505-2E9C-101B-9397-08002B2CF9AE}" pid="11" name="ContentTypeId">
    <vt:lpwstr>0x01010068DA13AE4653DE42B291AFB092C2A73B</vt:lpwstr>
  </property>
  <property fmtid="{D5CDD505-2E9C-101B-9397-08002B2CF9AE}" pid="12" name="MediaServiceImageTags">
    <vt:lpwstr/>
  </property>
  <property fmtid="{D5CDD505-2E9C-101B-9397-08002B2CF9AE}" pid="13" name="Order">
    <vt:r8>60700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</Properties>
</file>